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K31" i="18"/>
  <c r="E31" i="18" s="1"/>
  <c r="J31" i="18"/>
  <c r="H21" i="18"/>
  <c r="E21" i="18" s="1"/>
  <c r="D66" i="18"/>
  <c r="K65" i="18" s="1"/>
  <c r="K55" i="18"/>
  <c r="G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1" i="7"/>
  <c r="F19" i="7"/>
  <c r="F17" i="7"/>
  <c r="F15" i="7"/>
  <c r="F12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<sst xmlns="http://schemas.openxmlformats.org/spreadsheetml/2006/main" count="1373" uniqueCount="679">
  <si>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</si>
  <si>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</si>
  <si>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</si>
  <si>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</si>
  <si>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</si>
  <si>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</si>
  <si>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</si>
  <si>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</si>
  <si>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</si>
  <si>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</si>
  <si>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</si>
  <si>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</si>
  <si>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</si>
  <si>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</si>
  <si>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</si>
  <si>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</si>
  <si>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</si>
  <si>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</si>
  <si>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</si>
  <si>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</si>
  <si>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</si>
  <si>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</si>
  <si>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</si>
  <si>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</si>
  <si>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</si>
  <si>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</si>
  <si>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</si>
  <si>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</si>
  <si>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</si>
  <si>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</si>
  <si>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</si>
  <si>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</si>
  <si>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</si>
  <si>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</si>
  <si>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</si>
  <si>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</si>
  <si>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</si>
  <si>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</si>
  <si>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</si>
  <si>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</si>
  <si>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</si>
  <si>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</si>
  <si>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</si>
  <si>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</si>
  <si>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</si>
  <si>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</si>
  <si>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</si>
  <si>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</si>
  <si>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</si>
  <si>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</si>
  <si>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</si>
  <si>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</si>
  <si>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</si>
  <si>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</si>
  <si>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</si>
  <si>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</si>
  <si>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</si>
  <si>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</si>
  <si>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</si>
  <si>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</si>
  <si>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</si>
  <si>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</si>
  <si>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</si>
  <si>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</si>
  <si>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</si>
  <si>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</si>
  <si>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</si>
  <si>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</si>
  <si>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</si>
  <si>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</si>
  <si>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</si>
  <si>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</si>
  <si>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</si>
  <si>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</si>
  <si>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</si>
  <si>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</si>
  <si>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</si>
  <si>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</si>
  <si>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</si>
  <si>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</si>
  <si>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</si>
  <si>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</si>
  <si>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</si>
  <si>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</si>
  <si>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</si>
  <si>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</si>
  <si>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</si>
  <si>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</si>
  <si>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</si>
  <si>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</si>
  <si>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</si>
  <si>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</si>
  <si>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</si>
  <si>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</si>
  <si>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</si>
  <si>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</si>
  <si>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</si>
  <si>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</si>
  <si>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</si>
  <si>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</si>
  <si>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</si>
  <si>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</si>
  <si>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</si>
  <si>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</si>
  <si>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</si>
  <si>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</si>
  <si>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</si>
  <si>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</si>
  <si>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</si>
  <si>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</si>
  <si>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</si>
  <si>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</si>
  <si>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</si>
  <si>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</si>
  <si>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</si>
  <si>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</si>
  <si>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</si>
  <si>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</si>
  <si>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</si>
  <si>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</si>
  <si>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</si>
  <si>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</si>
  <si>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</si>
  <si>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</si>
  <si>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</si>
  <si>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</si>
  <si>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</si>
  <si>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</si>
  <si>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</si>
  <si>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</si>
  <si>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</si>
  <si>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</si>
  <si>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</si>
  <si>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</si>
  <si>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</si>
  <si>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</si>
  <si>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</si>
  <si>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</si>
  <si>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</si>
  <si>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</si>
  <si>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</si>
  <si>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</si>
  <si>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</si>
  <si>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</si>
  <si>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</si>
  <si>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</si>
  <si>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</si>
  <si>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</si>
  <si>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</si>
  <si>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</si>
  <si>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</si>
  <si>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</si>
  <si>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</si>
  <si>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</si>
  <si>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</si>
  <si>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</si>
  <si>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</si>
  <si>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</si>
  <si>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</si>
  <si>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</si>
  <si>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</si>
  <si>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</si>
  <si>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</si>
  <si>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</si>
  <si>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</si>
  <si>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</si>
  <si>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</si>
  <si>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</si>
  <si>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</si>
  <si>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</si>
  <si>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</si>
  <si>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</si>
  <si>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</si>
  <si>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</si>
  <si>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</si>
  <si>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</si>
  <si>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</si>
  <si>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</si>
  <si>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</si>
  <si>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</si>
  <si>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</si>
  <si>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</si>
  <si>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</si>
  <si>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</si>
  <si>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</si>
  <si>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</si>
  <si>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</si>
  <si>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</si>
  <si>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</si>
  <si>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</si>
  <si>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</si>
  <si>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</si>
  <si>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</si>
  <si>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</si>
  <si>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</si>
  <si>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</si>
  <si>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</si>
  <si>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</si>
  <si>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</si>
  <si>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</si>
  <si>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</si>
  <si>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</si>
  <si>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</si>
  <si>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</si>
  <si>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</si>
  <si>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</si>
  <si>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</si>
  <si>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</si>
  <si>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</si>
  <si>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</si>
  <si>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</si>
  <si>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</si>
  <si>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</si>
  <si>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</si>
  <si>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</si>
  <si>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</si>
  <si>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</si>
  <si>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</si>
  <si>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</si>
  <si>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</si>
  <si>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</si>
  <si>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</si>
  <si>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</si>
  <si>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</si>
  <si>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</si>
  <si>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</si>
  <si>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</si>
  <si>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</si>
  <si>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</si>
  <si>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</si>
  <si>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</si>
  <si>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</si>
  <si>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</si>
  <si>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</si>
  <si>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</si>
  <si>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</si>
  <si>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</si>
  <si>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</si>
  <si>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</si>
  <si>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</si>
  <si>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</si>
  <si>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</si>
  <si>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</si>
  <si>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</si>
  <si>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</si>
  <si>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</si>
  <si>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</si>
  <si>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</si>
  <si>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</si>
  <si>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</si>
  <si>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</si>
  <si>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</si>
  <si>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</si>
  <si>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</si>
  <si>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</si>
  <si>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</si>
  <si>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</si>
  <si>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</si>
  <si>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</si>
  <si>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</si>
  <si>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</si>
  <si>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</si>
  <si>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</si>
  <si>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</si>
  <si>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</si>
  <si>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</si>
  <si>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</si>
  <si>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</si>
  <si>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</si>
  <si>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</si>
  <si>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</si>
  <si>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</si>
  <si>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</si>
  <si>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</si>
  <si>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</si>
  <si>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</si>
  <si>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</si>
  <si>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</si>
  <si>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</si>
  <si>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</si>
  <si>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</si>
  <si>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</si>
  <si>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</si>
  <si>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</si>
  <si>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</si>
  <si>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</si>
  <si>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</si>
  <si>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</si>
  <si>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</si>
  <si>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</si>
  <si>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</si>
  <si>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</si>
  <si>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</si>
  <si>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</si>
  <si>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</si>
  <si>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</si>
  <si>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</si>
  <si>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</si>
  <si>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</si>
  <si>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</si>
  <si>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</si>
  <si>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</si>
  <si>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</si>
  <si>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</si>
  <si>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</si>
  <si>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</si>
  <si>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</si>
  <si>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</si>
  <si>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</si>
  <si>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</si>
  <si>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</si>
  <si>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</si>
  <si>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</si>
  <si>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</si>
  <si>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</si>
  <si>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</si>
  <si>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</si>
  <si>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</si>
  <si>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</si>
  <si>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</si>
  <si>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</si>
  <si>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</si>
  <si>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</si>
  <si>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</si>
  <si>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</si>
  <si>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</si>
  <si>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</si>
  <si>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</si>
  <si>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</si>
  <si>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</si>
  <si>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</si>
  <si>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</si>
  <si>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</si>
  <si>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</si>
  <si>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</si>
  <si>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</si>
  <si>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</si>
  <si>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</si>
  <si>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</si>
  <si>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</si>
  <si>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</si>
  <si>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</si>
  <si>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</si>
  <si>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</si>
  <si>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</si>
  <si>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</si>
  <si>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</si>
  <si>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</si>
  <si>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</si>
  <si>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</si>
  <si>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</si>
  <si>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</si>
  <si>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</si>
  <si>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</si>
  <si>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</si>
  <si>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</si>
  <si>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</si>
  <si>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</si>
  <si>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</si>
  <si>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</si>
  <si>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</si>
  <si>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</si>
  <si>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</si>
  <si>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</si>
  <si>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</si>
  <si>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</si>
  <si>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</si>
  <si>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</si>
  <si>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</si>
  <si>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</si>
  <si>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</si>
  <si>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</si>
  <si>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</si>
  <si>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</si>
  <si>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</si>
  <si>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</si>
  <si>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</si>
  <si>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</si>
  <si>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</si>
  <si>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</si>
  <si>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</si>
  <si>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</si>
  <si>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</si>
  <si>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</si>
  <si>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</si>
  <si>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</si>
  <si>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</si>
  <si>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</si>
  <si>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</si>
  <si>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</si>
  <si>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</si>
  <si>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</si>
  <si>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</si>
  <si>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</si>
  <si>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</si>
  <si>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</si>
  <si>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</si>
  <si>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</si>
  <si>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</si>
  <si>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</si>
  <si>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</si>
  <si>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</si>
  <si>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</si>
  <si>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</si>
  <si>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</si>
  <si>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</si>
  <si>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</si>
  <si>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</si>
  <si>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</si>
  <si>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</si>
  <si>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</si>
  <si>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</si>
  <si>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</si>
  <si>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</si>
  <si>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</si>
  <si>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</si>
  <si>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</si>
  <si>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</si>
  <si>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</si>
  <si>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</si>
  <si>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</si>
  <si>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</si>
  <si>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</si>
  <si>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</si>
  <si>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</si>
  <si>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</si>
  <si>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</si>
  <si>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</si>
  <si>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</si>
  <si>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</si>
  <si>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</si>
  <si>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</si>
  <si>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</si>
  <si>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</si>
  <si>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</si>
  <si>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</si>
  <si>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</si>
  <si>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</si>
  <si>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</si>
  <si>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</si>
  <si>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</si>
  <si>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</si>
  <si>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</si>
  <si>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</si>
  <si>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</si>
  <si>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</si>
  <si>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</si>
  <si>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</si>
  <si>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</si>
  <si>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</si>
  <si>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</si>
  <si>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</si>
  <si>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</si>
  <si>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</si>
  <si>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</si>
  <si>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</si>
  <si>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</si>
  <si>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</si>
  <si>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</si>
  <si>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</si>
  <si>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</si>
  <si>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</si>
  <si>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</si>
  <si>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</si>
  <si>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</si>
  <si>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</si>
  <si>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</si>
  <si>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</si>
  <si>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</si>
  <si>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</si>
  <si>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</si>
  <si>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</si>
  <si>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</si>
  <si>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</si>
  <si>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</si>
  <si>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</si>
  <si>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</si>
  <si>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</si>
  <si>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</si>
  <si>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</si>
  <si>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</si>
  <si>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</si>
  <si>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</si>
  <si>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</si>
  <si>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</si>
  <si>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</si>
  <si>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</si>
  <si>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</si>
  <si>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</si>
  <si>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</si>
  <si>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</si>
  <si>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</si>
  <si>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</si>
  <si>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</si>
  <si>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</si>
  <si>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</si>
  <si>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</si>
  <si>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</si>
  <si>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</si>
  <si>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</si>
  <si>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</si>
  <si>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</si>
  <si>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</si>
  <si>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</si>
  <si>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</si>
  <si>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</si>
  <si>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</si>
  <si>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</si>
  <si>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</si>
  <si>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</si>
  <si>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</si>
  <si>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</si>
  <si>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</si>
  <si>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</si>
  <si>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</si>
  <si>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</si>
  <si>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</si>
  <si>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</si>
  <si>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</si>
  <si>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</si>
  <si>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</si>
  <si>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</si>
  <si>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</si>
  <si>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</si>
  <si>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</si>
  <si>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</si>
  <si>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</si>
  <si>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</si>
  <si>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</si>
  <si>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</si>
  <si>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</si>
  <si>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</si>
  <si>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</si>
  <si>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</si>
  <si>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</si>
  <si>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</si>
  <si>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</si>
  <si>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</si>
  <si>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</si>
  <si>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</si>
  <si>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</si>
  <si>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</si>
  <si>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</si>
  <si>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</si>
  <si>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</si>
  <si>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</si>
  <si>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</si>
  <si>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</si>
  <si>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</si>
  <si>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</si>
  <si>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</si>
  <si>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</si>
  <si>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</si>
  <si>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</si>
  <si>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</si>
  <si>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</si>
  <si>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</si>
  <si>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</si>
  <si>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</si>
  <si>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</si>
  <si>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</si>
  <si>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</si>
  <si>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</si>
  <si>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</si>
  <si>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</si>
  <si>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</si>
  <si>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</si>
  <si>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</si>
  <si>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</si>
  <si>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</si>
  <si>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</si>
  <si>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</si>
  <si>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</si>
  <si>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</si>
  <si>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</si>
  <si>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</si>
  <si>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</si>
  <si>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</si>
  <si>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</si>
  <si>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</si>
  <si>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</si>
  <si>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</si>
  <si>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</si>
  <si>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</si>
  <si>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</si>
  <si>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</si>
  <si>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</si>
  <si>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</si>
  <si>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</si>
  <si>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</si>
  <si>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</si>
  <si>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</si>
  <si>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</si>
  <si>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</si>
  <si>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</si>
  <si>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</si>
  <si>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</si>
  <si>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</si>
  <si>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</si>
  <si>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</si>
  <si>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</si>
  <si>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</si>
  <si>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</si>
  <si>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</si>
  <si>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</si>
  <si>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</si>
  <si>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</si>
  <si>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</si>
  <si>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</si>
  <si>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</si>
  <si>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</si>
  <si>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</si>
  <si>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</si>
  <si>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</si>
  <si>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</si>
  <si>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</si>
  <si>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</si>
  <si>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</si>
  <si>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</si>
  <si>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</si>
  <si>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</si>
  <si>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</si>
  <si>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</si>
  <si>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</si>
  <si>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</si>
  <si>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</si>
  <si>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</si>
  <si>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</si>
  <si>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</si>
  <si>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</si>
  <si>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</si>
  <si>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</si>
  <si>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</si>
  <si>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</si>
  <si>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</si>
  <si>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</si>
  <si>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</si>
  <si>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</si>
  <si>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</si>
  <si>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</si>
  <si>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</si>
  <si>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</si>
  <si>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</si>
  <si>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</si>
  <si>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</si>
  <si>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</si>
  <si>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</si>
  <si>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</si>
  <si>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</si>
  <si>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</si>
  <si>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</si>
  <si>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</si>
  <si>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</si>
  <si>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</si>
  <si>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</si>
  <si>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</si>
  <si>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DE_GBH04</t>
  </si>
  <si>
    <t>Stadtwerk Tauberfranken GmbH</t>
  </si>
  <si>
    <t>Max-Planck-Str. 5</t>
  </si>
  <si>
    <t>Bad Mergentheim</t>
  </si>
  <si>
    <t>bilanzierung@stadtwerk-tauberfranken.de</t>
  </si>
  <si>
    <t>07931 491 332</t>
  </si>
  <si>
    <t>Neunkirchen</t>
  </si>
  <si>
    <t>9870078800000</t>
  </si>
  <si>
    <t>NCHN007007880000</t>
  </si>
  <si>
    <t>NGB Stadtwerk Tauberfranken Gas</t>
  </si>
  <si>
    <t>Adrian Balbach</t>
  </si>
  <si>
    <t>DE_GHA33</t>
  </si>
  <si>
    <t>DE_GPD33</t>
  </si>
  <si>
    <t>DE_GBA33</t>
  </si>
  <si>
    <t>DE_GKO33</t>
  </si>
  <si>
    <t>DE_GBD33</t>
  </si>
  <si>
    <t>DE_GGA33</t>
  </si>
  <si>
    <t>DE_GWA33</t>
  </si>
  <si>
    <t>DE_GGB33</t>
  </si>
  <si>
    <t>DE_GMF33</t>
  </si>
  <si>
    <t>DE_GMK33</t>
  </si>
  <si>
    <t>DE_HEF33</t>
  </si>
  <si>
    <t>DE_HMF33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</si>
</sst>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topLeftCell="A4" zoomScale="90" zoomScaleNormal="9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43644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42948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2" t="s">
        <v>663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97980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5" t="s">
        <v>504</v>
      </c>
      <c r="D28" s="48" t="str">
        <f>IF(D27&lt;&gt;C28,VLOOKUP(D27,$C$29:$D$48,2,FALSE),C28)</f>
        <v>NGB Stadtwerk Tauberfranken Gas</v>
      </c>
      <c r="E28" s="38"/>
      <c r="F28" s="11"/>
      <c r="G28" s="2"/>
    </row>
    <row r="29" spans="1:15">
      <c r="B29" s="15"/>
      <c r="C29" s="22" t="s">
        <v>396</v>
      </c>
      <c r="D29" s="45" t="s">
        <v>665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 Tauberfranken GmbH</v>
      </c>
      <c r="H5" s="67"/>
      <c r="I5" s="67"/>
      <c r="J5" s="67"/>
      <c r="K5" s="67"/>
    </row>
    <row r="6" spans="2:15" ht="15" customHeight="1">
      <c r="B6" s="22"/>
      <c r="C6" s="61" t="s">
        <v>447</v>
      </c>
      <c r="D6" s="58" t="str">
        <f>Netzbetreiber!D28</f>
        <v>NGB Stadtwerk Tauberfranken Gas</v>
      </c>
      <c r="E6" s="15"/>
      <c r="H6" s="67"/>
      <c r="I6" s="67"/>
      <c r="J6" s="67"/>
      <c r="K6" s="67"/>
    </row>
    <row r="7" spans="2:15" ht="15" customHeight="1">
      <c r="B7" s="22"/>
      <c r="C7" s="60" t="s">
        <v>490</v>
      </c>
      <c r="D7" s="329" t="str">
        <f>Netzbetreiber!$D$11</f>
        <v>9870078800000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42948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433</v>
      </c>
      <c r="D15" s="42" t="s">
        <v>664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432</v>
      </c>
      <c r="D16" s="42" t="s">
        <v>431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491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492</v>
      </c>
      <c r="I20" s="271" t="s">
        <v>493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498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509</v>
      </c>
      <c r="I37" s="268"/>
      <c r="J37" s="268"/>
      <c r="K37" s="268"/>
      <c r="L37" s="268"/>
      <c r="M37" s="269"/>
    </row>
    <row r="38" spans="2:39" customFormat="1" ht="15" customHeight="1">
      <c r="C38" s="8" t="s">
        <v>494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662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E25" sqref="E2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Netzbetreiber!D9</f>
        <v>Stadtwerk Tauberfranken GmbH</v>
      </c>
      <c r="F4" s="331"/>
      <c r="G4" s="331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Netzbetreiber!D28</f>
        <v>NGB Stadtwerk Tauberfranken 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Netzbetreiber!D11</f>
        <v>9870078800000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42948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 t="str">
        <f>INDEX('SLP-Verfahren'!D48:D62,'SLP-Temp-Gebiet #01'!F10)</f>
        <v>Neunkirchen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505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>
        <v>198149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Neunkirchen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>
        <f>E25</f>
        <v>198149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448</v>
      </c>
      <c r="D4" s="57"/>
      <c r="E4" s="331" t="str">
        <f>Netzbetreiber!$D$9</f>
        <v>Stadtwerk Tauberfranken GmbH</v>
      </c>
      <c r="F4" s="130"/>
      <c r="M4" s="130"/>
      <c r="N4" s="130"/>
      <c r="O4" s="130"/>
    </row>
    <row r="5" spans="2:56">
      <c r="B5" s="130"/>
      <c r="C5" s="56" t="s">
        <v>447</v>
      </c>
      <c r="D5" s="57"/>
      <c r="E5" s="58" t="str">
        <f>Netzbetreiber!$D$28</f>
        <v>NGB Stadtwerk Tauberfranken Gas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490</v>
      </c>
      <c r="D6" s="57"/>
      <c r="E6" s="330" t="str">
        <f>Netzbetreiber!$D$11</f>
        <v>9870078800000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42948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500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1" t="s">
        <v>585</v>
      </c>
      <c r="D13" s="341"/>
      <c r="E13" s="341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2" t="s">
        <v>451</v>
      </c>
      <c r="D14" s="342"/>
      <c r="E14" s="89" t="s">
        <v>452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2" t="s">
        <v>388</v>
      </c>
      <c r="D15" s="342"/>
      <c r="E15" s="89" t="s">
        <v>452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496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516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518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505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517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506</v>
      </c>
      <c r="F26" s="156" t="s">
        <v>506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506</v>
      </c>
      <c r="S26" s="67" t="s">
        <v>507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454</v>
      </c>
      <c r="D34" s="153" t="s">
        <v>453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446</v>
      </c>
      <c r="D36" s="119" t="s">
        <v>539</v>
      </c>
      <c r="E36" s="162" t="s">
        <v>455</v>
      </c>
      <c r="F36" s="162" t="s">
        <v>455</v>
      </c>
      <c r="G36" s="162" t="s">
        <v>456</v>
      </c>
      <c r="H36" s="162" t="s">
        <v>456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456</v>
      </c>
      <c r="S36" s="67" t="s">
        <v>455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516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518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517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454</v>
      </c>
      <c r="D68" s="153" t="s">
        <v>453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446</v>
      </c>
      <c r="D70" s="119" t="s">
        <v>539</v>
      </c>
      <c r="E70" s="163" t="s">
        <v>456</v>
      </c>
      <c r="F70" s="163" t="s">
        <v>456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3" t="s">
        <v>581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H26" sqref="H2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469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Stadtwerk Tauberfranken GmbH</v>
      </c>
      <c r="E5" s="130"/>
      <c r="J5" s="88" t="s">
        <v>500</v>
      </c>
      <c r="K5" s="131" t="s">
        <v>503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NGB Stadtwerk Tauberfranken Gas</v>
      </c>
      <c r="E6" s="130"/>
      <c r="F6" s="130"/>
      <c r="K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490</v>
      </c>
      <c r="D7" s="54" t="str">
        <f>Netzbetreiber!$D$11</f>
        <v>9870078800000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42948</v>
      </c>
      <c r="E8" s="130"/>
      <c r="F8" s="130"/>
      <c r="H8" s="128" t="s">
        <v>498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497</v>
      </c>
      <c r="D10" s="134" t="s">
        <v>147</v>
      </c>
      <c r="E10" s="273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499</v>
      </c>
      <c r="C11" s="140" t="s">
        <v>512</v>
      </c>
      <c r="D11" s="294" t="s">
        <v>247</v>
      </c>
      <c r="E11" s="164" t="s">
        <v>656</v>
      </c>
      <c r="F11" s="296" t="str">
        <f>VLOOKUP($E11,'BDEW-Standard'!$B$3:$M$158,F$9,0)</f>
        <v>BH4</v>
      </c>
      <c r="H11" s="167">
        <f>ROUND(VLOOKUP($E11,'BDEW-Standard'!$B$3:$M$158,H$9,0),7)</f>
        <v>2.4595180999999999</v>
      </c>
      <c r="I11" s="167">
        <f>ROUND(VLOOKUP($E11,'BDEW-Standard'!$B$3:$M$158,I$9,0),7)</f>
        <v>-35.253212400000002</v>
      </c>
      <c r="J11" s="167">
        <f>ROUND(VLOOKUP($E11,'BDEW-Standard'!$B$3:$M$158,J$9,0),7)</f>
        <v>6.0587001000000003</v>
      </c>
      <c r="K11" s="167">
        <f>ROUND(VLOOKUP($E11,'BDEW-Standard'!$B$3:$M$158,K$9,0),7)</f>
        <v>0.16473699999999999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1.043802057143173</v>
      </c>
      <c r="R11" s="168">
        <f>ROUND(VLOOKUP(MID($E11,4,3),'Wochentag F(WT)'!$B$7:$J$22,R$9,0),4)</f>
        <v>0.97670000000000001</v>
      </c>
      <c r="S11" s="168">
        <f>ROUND(VLOOKUP(MID($E11,4,3),'Wochentag F(WT)'!$B$7:$J$22,S$9,0),4)</f>
        <v>1.0388999999999999</v>
      </c>
      <c r="T11" s="168">
        <f>ROUND(VLOOKUP(MID($E11,4,3),'Wochentag F(WT)'!$B$7:$J$22,T$9,0),4)</f>
        <v>1.0027999999999999</v>
      </c>
      <c r="U11" s="168">
        <f>ROUND(VLOOKUP(MID($E11,4,3),'Wochentag F(WT)'!$B$7:$J$22,U$9,0),4)</f>
        <v>1.0162</v>
      </c>
      <c r="V11" s="168">
        <f>ROUND(VLOOKUP(MID($E11,4,3),'Wochentag F(WT)'!$B$7:$J$22,V$9,0),4)</f>
        <v>1.0024</v>
      </c>
      <c r="W11" s="168">
        <f>ROUND(VLOOKUP(MID($E11,4,3),'Wochentag F(WT)'!$B$7:$J$22,W$9,0),4)</f>
        <v>1.0043</v>
      </c>
      <c r="X11" s="169">
        <f>7-SUM(R11:W11)</f>
        <v>0.95870000000000122</v>
      </c>
      <c r="Y11" s="292">
        <v>365.12299999999999</v>
      </c>
    </row>
    <row r="12" spans="2:26">
      <c r="B12" s="141">
        <v>1</v>
      </c>
      <c r="C12" s="142" t="str">
        <f t="shared" ref="C12:C41" si="0">$D$6</f>
        <v>NGB Stadtwerk Tauberfranken Gas</v>
      </c>
      <c r="D12" s="62" t="s">
        <v>247</v>
      </c>
      <c r="E12" s="165" t="s">
        <v>669</v>
      </c>
      <c r="F12" s="297" t="str">
        <f>VLOOKUP($E12,'BDEW-Standard'!$B$3:$M$94,F$9,0)</f>
        <v>AB3</v>
      </c>
      <c r="H12" s="274">
        <f>ROUND(VLOOKUP($E12,'BDEW-Standard'!$B$3:$M$94,H$9,0),7)</f>
        <v>0.2770087</v>
      </c>
      <c r="I12" s="274">
        <f>ROUND(VLOOKUP($E12,'BDEW-Standard'!$B$3:$M$94,I$9,0),7)</f>
        <v>-33</v>
      </c>
      <c r="J12" s="274">
        <f>ROUND(VLOOKUP($E12,'BDEW-Standard'!$B$3:$M$94,J$9,0),7)</f>
        <v>5.7212303000000002</v>
      </c>
      <c r="K12" s="274">
        <f>ROUND(VLOOKUP($E12,'BDEW-Standard'!$B$3:$M$94,K$9,0),7)</f>
        <v>0.48651179999999999</v>
      </c>
      <c r="L12" s="338">
        <f>ROUND(VLOOKUP($E12,'BDEW-Standard'!$B$3:$M$94,L$9,0),1)</f>
        <v>40</v>
      </c>
      <c r="M12" s="274">
        <f>ROUND(VLOOKUP($E12,'BDEW-Standard'!$B$3:$M$94,M$9,0),7)</f>
        <v>-9.4848999999999992E-3</v>
      </c>
      <c r="N12" s="274">
        <f>ROUND(VLOOKUP($E12,'BDEW-Standard'!$B$3:$M$94,N$9,0),7)</f>
        <v>0.46302369999999998</v>
      </c>
      <c r="O12" s="274">
        <f>ROUND(VLOOKUP($E12,'BDEW-Standard'!$B$3:$M$94,O$9,0),7)</f>
        <v>-7.1339999999999999E-4</v>
      </c>
      <c r="P12" s="274">
        <f>ROUND(VLOOKUP($E12,'BDEW-Standard'!$B$3:$M$94,P$9,0),7)</f>
        <v>0.3867447</v>
      </c>
      <c r="Q12" s="339">
        <f t="shared" ref="Q12:Q26" si="1">($H12/(1+($I12/($Q$9-$L12))^$J12)+$K12)+MAX($M12*$Q$9+$N12,$O12*$Q$9+$P12)</f>
        <v>1.0000000764227039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NGB Stadtwerk Tauberfranken Gas</v>
      </c>
      <c r="D13" s="62" t="s">
        <v>247</v>
      </c>
      <c r="E13" s="165" t="s">
        <v>668</v>
      </c>
      <c r="F13" s="297" t="str">
        <f>VLOOKUP($E13,'BDEW-Standard'!$B$3:$M$94,F$9,0)</f>
        <v>DP3</v>
      </c>
      <c r="H13" s="274">
        <f>ROUND(VLOOKUP($E13,'BDEW-Standard'!$B$3:$M$94,H$9,0),7)</f>
        <v>1.7110738999999999</v>
      </c>
      <c r="I13" s="274">
        <f>ROUND(VLOOKUP($E13,'BDEW-Standard'!$B$3:$M$94,I$9,0),7)</f>
        <v>-35.799999999999997</v>
      </c>
      <c r="J13" s="274">
        <f>ROUND(VLOOKUP($E13,'BDEW-Standard'!$B$3:$M$94,J$9,0),7)</f>
        <v>8.4</v>
      </c>
      <c r="K13" s="274">
        <f>ROUND(VLOOKUP($E13,'BDEW-Standard'!$B$3:$M$94,K$9,0),7)</f>
        <v>7.02546E-2</v>
      </c>
      <c r="L13" s="338">
        <f>ROUND(VLOOKUP($E13,'BDEW-Standard'!$B$3:$M$94,L$9,0),1)</f>
        <v>40</v>
      </c>
      <c r="M13" s="274">
        <f>ROUND(VLOOKUP($E13,'BDEW-Standard'!$B$3:$M$94,M$9,0),7)</f>
        <v>-7.4538099999999996E-2</v>
      </c>
      <c r="N13" s="274">
        <f>ROUND(VLOOKUP($E13,'BDEW-Standard'!$B$3:$M$94,N$9,0),7)</f>
        <v>1.0463005000000001</v>
      </c>
      <c r="O13" s="274">
        <f>ROUND(VLOOKUP($E13,'BDEW-Standard'!$B$3:$M$94,O$9,0),7)</f>
        <v>-3.6719999999999998E-4</v>
      </c>
      <c r="P13" s="274">
        <f>ROUND(VLOOKUP($E13,'BDEW-Standard'!$B$3:$M$94,P$9,0),7)</f>
        <v>6.2188199999999999E-2</v>
      </c>
      <c r="Q13" s="339">
        <f t="shared" si="1"/>
        <v>1.0000000773228386</v>
      </c>
      <c r="R13" s="275">
        <f>ROUND(VLOOKUP(MID($E13,4,3),'Wochentag F(WT)'!$B$7:$J$22,R$9,0),4)</f>
        <v>1.0214000000000001</v>
      </c>
      <c r="S13" s="275">
        <f>ROUND(VLOOKUP(MID($E13,4,3),'Wochentag F(WT)'!$B$7:$J$22,S$9,0),4)</f>
        <v>1.0866</v>
      </c>
      <c r="T13" s="275">
        <f>ROUND(VLOOKUP(MID($E13,4,3),'Wochentag F(WT)'!$B$7:$J$22,T$9,0),4)</f>
        <v>1.0720000000000001</v>
      </c>
      <c r="U13" s="275">
        <f>ROUND(VLOOKUP(MID($E13,4,3),'Wochentag F(WT)'!$B$7:$J$22,U$9,0),4)</f>
        <v>1.0557000000000001</v>
      </c>
      <c r="V13" s="275">
        <f>ROUND(VLOOKUP(MID($E13,4,3),'Wochentag F(WT)'!$B$7:$J$22,V$9,0),4)</f>
        <v>1.0117</v>
      </c>
      <c r="W13" s="275">
        <f>ROUND(VLOOKUP(MID($E13,4,3),'Wochentag F(WT)'!$B$7:$J$22,W$9,0),4)</f>
        <v>0.90010000000000001</v>
      </c>
      <c r="X13" s="276">
        <f t="shared" ref="X13:X26" si="2">7-SUM(R13:W13)</f>
        <v>0.85249999999999915</v>
      </c>
      <c r="Y13" s="293"/>
      <c r="Z13" s="211"/>
    </row>
    <row r="14" spans="2:26" s="143" customFormat="1">
      <c r="B14" s="144">
        <v>3</v>
      </c>
      <c r="C14" s="145" t="str">
        <f t="shared" si="0"/>
        <v>NGB Stadtwerk Tauberfranken Gas</v>
      </c>
      <c r="D14" s="62" t="s">
        <v>247</v>
      </c>
      <c r="E14" s="165" t="s">
        <v>4</v>
      </c>
      <c r="F14" s="297" t="str">
        <f>VLOOKUP($E14,'BDEW-Standard'!$B$3:$M$94,F$9,0)</f>
        <v>HK3</v>
      </c>
      <c r="H14" s="274">
        <f>ROUND(VLOOKUP($E14,'BDEW-Standard'!$B$3:$M$94,H$9,0),7)</f>
        <v>0.40409319999999999</v>
      </c>
      <c r="I14" s="274">
        <f>ROUND(VLOOKUP($E14,'BDEW-Standard'!$B$3:$M$94,I$9,0),7)</f>
        <v>-24.439296800000001</v>
      </c>
      <c r="J14" s="274">
        <f>ROUND(VLOOKUP($E14,'BDEW-Standard'!$B$3:$M$94,J$9,0),7)</f>
        <v>6.5718174999999999</v>
      </c>
      <c r="K14" s="274">
        <f>ROUND(VLOOKUP($E14,'BDEW-Standard'!$B$3:$M$94,K$9,0),7)</f>
        <v>0.71077100000000004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si="1"/>
        <v>1.0561214000512988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3"/>
      <c r="Z14" s="211"/>
    </row>
    <row r="15" spans="2:26" s="143" customFormat="1">
      <c r="B15" s="144">
        <v>4</v>
      </c>
      <c r="C15" s="145" t="str">
        <f t="shared" si="0"/>
        <v>NGB Stadtwerk Tauberfranken Gas</v>
      </c>
      <c r="D15" s="62" t="s">
        <v>247</v>
      </c>
      <c r="E15" s="165" t="s">
        <v>667</v>
      </c>
      <c r="F15" s="297" t="str">
        <f>VLOOKUP($E15,'BDEW-Standard'!$B$3:$M$94,F$9,0)</f>
        <v>AH3</v>
      </c>
      <c r="H15" s="274">
        <f>ROUND(VLOOKUP($E15,'BDEW-Standard'!$B$3:$M$94,H$9,0),7)</f>
        <v>1.9724775000000001</v>
      </c>
      <c r="I15" s="274">
        <f>ROUND(VLOOKUP($E15,'BDEW-Standard'!$B$3:$M$94,I$9,0),7)</f>
        <v>-36.965006500000001</v>
      </c>
      <c r="J15" s="274">
        <f>ROUND(VLOOKUP($E15,'BDEW-Standard'!$B$3:$M$94,J$9,0),7)</f>
        <v>7.2256947</v>
      </c>
      <c r="K15" s="274">
        <f>ROUND(VLOOKUP($E15,'BDEW-Standard'!$B$3:$M$94,K$9,0),7)</f>
        <v>3.4578200000000003E-2</v>
      </c>
      <c r="L15" s="338">
        <f>ROUND(VLOOKUP($E15,'BDEW-Standard'!$B$3:$M$94,L$9,0),1)</f>
        <v>40</v>
      </c>
      <c r="M15" s="274">
        <f>ROUND(VLOOKUP($E15,'BDEW-Standard'!$B$3:$M$94,M$9,0),7)</f>
        <v>-7.4217400000000003E-2</v>
      </c>
      <c r="N15" s="274">
        <f>ROUND(VLOOKUP($E15,'BDEW-Standard'!$B$3:$M$94,N$9,0),7)</f>
        <v>1.0448869000000001</v>
      </c>
      <c r="O15" s="274">
        <f>ROUND(VLOOKUP($E15,'BDEW-Standard'!$B$3:$M$94,O$9,0),7)</f>
        <v>-8.2950000000000005E-4</v>
      </c>
      <c r="P15" s="274">
        <f>ROUND(VLOOKUP($E15,'BDEW-Standard'!$B$3:$M$94,P$9,0),7)</f>
        <v>4.6179499999999998E-2</v>
      </c>
      <c r="Q15" s="339">
        <f t="shared" si="1"/>
        <v>1.0000000832749945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2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NGB Stadtwerk Tauberfranken Gas</v>
      </c>
      <c r="D16" s="62" t="s">
        <v>247</v>
      </c>
      <c r="E16" s="165" t="s">
        <v>670</v>
      </c>
      <c r="F16" s="297" t="str">
        <f>VLOOKUP($E16,'BDEW-Standard'!$B$3:$M$94,F$9,0)</f>
        <v>OK3</v>
      </c>
      <c r="H16" s="274">
        <f>ROUND(VLOOKUP($E16,'BDEW-Standard'!$B$3:$M$94,H$9,0),7)</f>
        <v>1.3554515</v>
      </c>
      <c r="I16" s="274">
        <f>ROUND(VLOOKUP($E16,'BDEW-Standard'!$B$3:$M$94,I$9,0),7)</f>
        <v>-35.141256300000002</v>
      </c>
      <c r="J16" s="274">
        <f>ROUND(VLOOKUP($E16,'BDEW-Standard'!$B$3:$M$94,J$9,0),7)</f>
        <v>7.1303394999999998</v>
      </c>
      <c r="K16" s="274">
        <f>ROUND(VLOOKUP($E16,'BDEW-Standard'!$B$3:$M$94,K$9,0),7)</f>
        <v>9.9061899999999994E-2</v>
      </c>
      <c r="L16" s="338">
        <f>ROUND(VLOOKUP($E16,'BDEW-Standard'!$B$3:$M$94,L$9,0),1)</f>
        <v>40</v>
      </c>
      <c r="M16" s="274">
        <f>ROUND(VLOOKUP($E16,'BDEW-Standard'!$B$3:$M$94,M$9,0),7)</f>
        <v>-5.26487E-2</v>
      </c>
      <c r="N16" s="274">
        <f>ROUND(VLOOKUP($E16,'BDEW-Standard'!$B$3:$M$94,N$9,0),7)</f>
        <v>0.86260859999999995</v>
      </c>
      <c r="O16" s="274">
        <f>ROUND(VLOOKUP($E16,'BDEW-Standard'!$B$3:$M$94,O$9,0),7)</f>
        <v>-8.8080000000000005E-4</v>
      </c>
      <c r="P16" s="274">
        <f>ROUND(VLOOKUP($E16,'BDEW-Standard'!$B$3:$M$94,P$9,0),7)</f>
        <v>9.6401399999999998E-2</v>
      </c>
      <c r="Q16" s="339">
        <f t="shared" si="1"/>
        <v>0.99999998782262245</v>
      </c>
      <c r="R16" s="275">
        <f>ROUND(VLOOKUP(MID($E16,4,3),'Wochentag F(WT)'!$B$7:$J$22,R$9,0),4)</f>
        <v>1.0354000000000001</v>
      </c>
      <c r="S16" s="275">
        <f>ROUND(VLOOKUP(MID($E16,4,3),'Wochentag F(WT)'!$B$7:$J$22,S$9,0),4)</f>
        <v>1.0523</v>
      </c>
      <c r="T16" s="275">
        <f>ROUND(VLOOKUP(MID($E16,4,3),'Wochentag F(WT)'!$B$7:$J$22,T$9,0),4)</f>
        <v>1.0448999999999999</v>
      </c>
      <c r="U16" s="275">
        <f>ROUND(VLOOKUP(MID($E16,4,3),'Wochentag F(WT)'!$B$7:$J$22,U$9,0),4)</f>
        <v>1.0494000000000001</v>
      </c>
      <c r="V16" s="275">
        <f>ROUND(VLOOKUP(MID($E16,4,3),'Wochentag F(WT)'!$B$7:$J$22,V$9,0),4)</f>
        <v>0.98850000000000005</v>
      </c>
      <c r="W16" s="275">
        <f>ROUND(VLOOKUP(MID($E16,4,3),'Wochentag F(WT)'!$B$7:$J$22,W$9,0),4)</f>
        <v>0.88600000000000001</v>
      </c>
      <c r="X16" s="276">
        <f t="shared" si="2"/>
        <v>0.94349999999999934</v>
      </c>
      <c r="Y16" s="293"/>
      <c r="Z16" s="211"/>
    </row>
    <row r="17" spans="2:26" s="143" customFormat="1">
      <c r="B17" s="144">
        <v>6</v>
      </c>
      <c r="C17" s="145" t="str">
        <f t="shared" si="0"/>
        <v>NGB Stadtwerk Tauberfranken Gas</v>
      </c>
      <c r="D17" s="62" t="s">
        <v>247</v>
      </c>
      <c r="E17" s="165" t="s">
        <v>671</v>
      </c>
      <c r="F17" s="297" t="str">
        <f>VLOOKUP($E17,'BDEW-Standard'!$B$3:$M$94,F$9,0)</f>
        <v>DB3</v>
      </c>
      <c r="H17" s="274">
        <f>ROUND(VLOOKUP($E17,'BDEW-Standard'!$B$3:$M$94,H$9,0),7)</f>
        <v>1.4633681999999999</v>
      </c>
      <c r="I17" s="274">
        <f>ROUND(VLOOKUP($E17,'BDEW-Standard'!$B$3:$M$94,I$9,0),7)</f>
        <v>-36.179411700000003</v>
      </c>
      <c r="J17" s="274">
        <f>ROUND(VLOOKUP($E17,'BDEW-Standard'!$B$3:$M$94,J$9,0),7)</f>
        <v>5.9265162</v>
      </c>
      <c r="K17" s="274">
        <f>ROUND(VLOOKUP($E17,'BDEW-Standard'!$B$3:$M$94,K$9,0),7)</f>
        <v>8.0883499999999997E-2</v>
      </c>
      <c r="L17" s="338">
        <f>ROUND(VLOOKUP($E17,'BDEW-Standard'!$B$3:$M$94,L$9,0),1)</f>
        <v>40</v>
      </c>
      <c r="M17" s="274">
        <f>ROUND(VLOOKUP($E17,'BDEW-Standard'!$B$3:$M$94,M$9,0),7)</f>
        <v>-4.7579999999999997E-2</v>
      </c>
      <c r="N17" s="274">
        <f>ROUND(VLOOKUP($E17,'BDEW-Standard'!$B$3:$M$94,N$9,0),7)</f>
        <v>0.82307540000000001</v>
      </c>
      <c r="O17" s="274">
        <f>ROUND(VLOOKUP($E17,'BDEW-Standard'!$B$3:$M$94,O$9,0),7)</f>
        <v>-1.9273000000000001E-3</v>
      </c>
      <c r="P17" s="274">
        <f>ROUND(VLOOKUP($E17,'BDEW-Standard'!$B$3:$M$94,P$9,0),7)</f>
        <v>0.1077046</v>
      </c>
      <c r="Q17" s="339">
        <f t="shared" si="1"/>
        <v>0.99999993818735389</v>
      </c>
      <c r="R17" s="275">
        <f>ROUND(VLOOKUP(MID($E17,4,3),'Wochentag F(WT)'!$B$7:$J$22,R$9,0),4)</f>
        <v>1.1052</v>
      </c>
      <c r="S17" s="275">
        <f>ROUND(VLOOKUP(MID($E17,4,3),'Wochentag F(WT)'!$B$7:$J$22,S$9,0),4)</f>
        <v>1.0857000000000001</v>
      </c>
      <c r="T17" s="275">
        <f>ROUND(VLOOKUP(MID($E17,4,3),'Wochentag F(WT)'!$B$7:$J$22,T$9,0),4)</f>
        <v>1.0378000000000001</v>
      </c>
      <c r="U17" s="275">
        <f>ROUND(VLOOKUP(MID($E17,4,3),'Wochentag F(WT)'!$B$7:$J$22,U$9,0),4)</f>
        <v>1.0622</v>
      </c>
      <c r="V17" s="275">
        <f>ROUND(VLOOKUP(MID($E17,4,3),'Wochentag F(WT)'!$B$7:$J$22,V$9,0),4)</f>
        <v>1.0266</v>
      </c>
      <c r="W17" s="275">
        <f>ROUND(VLOOKUP(MID($E17,4,3),'Wochentag F(WT)'!$B$7:$J$22,W$9,0),4)</f>
        <v>0.76290000000000002</v>
      </c>
      <c r="X17" s="276">
        <f t="shared" si="2"/>
        <v>0.91959999999999997</v>
      </c>
      <c r="Y17" s="293"/>
      <c r="Z17" s="211"/>
    </row>
    <row r="18" spans="2:26" s="143" customFormat="1">
      <c r="B18" s="144">
        <v>7</v>
      </c>
      <c r="C18" s="145" t="str">
        <f t="shared" si="0"/>
        <v>NGB Stadtwerk Tauberfranken Gas</v>
      </c>
      <c r="D18" s="62" t="s">
        <v>247</v>
      </c>
      <c r="E18" s="165" t="s">
        <v>672</v>
      </c>
      <c r="F18" s="297" t="str">
        <f>VLOOKUP($E18,'BDEW-Standard'!$B$3:$M$94,F$9,0)</f>
        <v>AG3</v>
      </c>
      <c r="H18" s="274">
        <f>ROUND(VLOOKUP($E18,'BDEW-Standard'!$B$3:$M$94,H$9,0),7)</f>
        <v>1.1582082</v>
      </c>
      <c r="I18" s="274">
        <f>ROUND(VLOOKUP($E18,'BDEW-Standard'!$B$3:$M$94,I$9,0),7)</f>
        <v>-36.287858399999998</v>
      </c>
      <c r="J18" s="274">
        <f>ROUND(VLOOKUP($E18,'BDEW-Standard'!$B$3:$M$94,J$9,0),7)</f>
        <v>6.5885125999999996</v>
      </c>
      <c r="K18" s="274">
        <f>ROUND(VLOOKUP($E18,'BDEW-Standard'!$B$3:$M$94,K$9,0),7)</f>
        <v>0.22356799999999999</v>
      </c>
      <c r="L18" s="338">
        <f>ROUND(VLOOKUP($E18,'BDEW-Standard'!$B$3:$M$94,L$9,0),1)</f>
        <v>40</v>
      </c>
      <c r="M18" s="274">
        <f>ROUND(VLOOKUP($E18,'BDEW-Standard'!$B$3:$M$94,M$9,0),7)</f>
        <v>-4.1033500000000001E-2</v>
      </c>
      <c r="N18" s="274">
        <f>ROUND(VLOOKUP($E18,'BDEW-Standard'!$B$3:$M$94,N$9,0),7)</f>
        <v>0.75264509999999996</v>
      </c>
      <c r="O18" s="274">
        <f>ROUND(VLOOKUP($E18,'BDEW-Standard'!$B$3:$M$94,O$9,0),7)</f>
        <v>-9.0879999999999997E-4</v>
      </c>
      <c r="P18" s="274">
        <f>ROUND(VLOOKUP($E18,'BDEW-Standard'!$B$3:$M$94,P$9,0),7)</f>
        <v>0.1916641</v>
      </c>
      <c r="Q18" s="339">
        <f t="shared" si="1"/>
        <v>0.99999977999083423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2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NGB Stadtwerk Tauberfranken Gas</v>
      </c>
      <c r="D19" s="62" t="s">
        <v>247</v>
      </c>
      <c r="E19" s="165" t="s">
        <v>673</v>
      </c>
      <c r="F19" s="297" t="str">
        <f>VLOOKUP($E19,'BDEW-Standard'!$B$3:$M$94,F$9,0)</f>
        <v>AW3</v>
      </c>
      <c r="H19" s="274">
        <f>ROUND(VLOOKUP($E19,'BDEW-Standard'!$B$3:$M$94,H$9,0),7)</f>
        <v>0.33378380000000002</v>
      </c>
      <c r="I19" s="274">
        <f>ROUND(VLOOKUP($E19,'BDEW-Standard'!$B$3:$M$94,I$9,0),7)</f>
        <v>-36.023791199999998</v>
      </c>
      <c r="J19" s="274">
        <f>ROUND(VLOOKUP($E19,'BDEW-Standard'!$B$3:$M$94,J$9,0),7)</f>
        <v>4.8662747</v>
      </c>
      <c r="K19" s="274">
        <f>ROUND(VLOOKUP($E19,'BDEW-Standard'!$B$3:$M$94,K$9,0),7)</f>
        <v>0.491228</v>
      </c>
      <c r="L19" s="338">
        <f>ROUND(VLOOKUP($E19,'BDEW-Standard'!$B$3:$M$94,L$9,0),1)</f>
        <v>40</v>
      </c>
      <c r="M19" s="274">
        <f>ROUND(VLOOKUP($E19,'BDEW-Standard'!$B$3:$M$94,M$9,0),7)</f>
        <v>-9.2262999999999998E-3</v>
      </c>
      <c r="N19" s="274">
        <f>ROUND(VLOOKUP($E19,'BDEW-Standard'!$B$3:$M$94,N$9,0),7)</f>
        <v>0.45957569999999998</v>
      </c>
      <c r="O19" s="274">
        <f>ROUND(VLOOKUP($E19,'BDEW-Standard'!$B$3:$M$94,O$9,0),7)</f>
        <v>-9.6759999999999999E-4</v>
      </c>
      <c r="P19" s="274">
        <f>ROUND(VLOOKUP($E19,'BDEW-Standard'!$B$3:$M$94,P$9,0),7)</f>
        <v>0.39642909999999998</v>
      </c>
      <c r="Q19" s="339">
        <f t="shared" si="1"/>
        <v>1.000000394217609</v>
      </c>
      <c r="R19" s="275">
        <f>ROUND(VLOOKUP(MID($E19,4,3),'Wochentag F(WT)'!$B$7:$J$22,R$9,0),4)</f>
        <v>1.2457</v>
      </c>
      <c r="S19" s="275">
        <f>ROUND(VLOOKUP(MID($E19,4,3),'Wochentag F(WT)'!$B$7:$J$22,S$9,0),4)</f>
        <v>1.2615000000000001</v>
      </c>
      <c r="T19" s="275">
        <f>ROUND(VLOOKUP(MID($E19,4,3),'Wochentag F(WT)'!$B$7:$J$22,T$9,0),4)</f>
        <v>1.2706999999999999</v>
      </c>
      <c r="U19" s="275">
        <f>ROUND(VLOOKUP(MID($E19,4,3),'Wochentag F(WT)'!$B$7:$J$22,U$9,0),4)</f>
        <v>1.2430000000000001</v>
      </c>
      <c r="V19" s="275">
        <f>ROUND(VLOOKUP(MID($E19,4,3),'Wochentag F(WT)'!$B$7:$J$22,V$9,0),4)</f>
        <v>1.1275999999999999</v>
      </c>
      <c r="W19" s="275">
        <f>ROUND(VLOOKUP(MID($E19,4,3),'Wochentag F(WT)'!$B$7:$J$22,W$9,0),4)</f>
        <v>0.38769999999999999</v>
      </c>
      <c r="X19" s="276">
        <f t="shared" si="2"/>
        <v>0.46379999999999999</v>
      </c>
      <c r="Y19" s="293"/>
      <c r="Z19" s="211"/>
    </row>
    <row r="20" spans="2:26" s="143" customFormat="1">
      <c r="B20" s="144">
        <v>9</v>
      </c>
      <c r="C20" s="145" t="str">
        <f t="shared" si="0"/>
        <v>NGB Stadtwerk Tauberfranken Gas</v>
      </c>
      <c r="D20" s="62" t="s">
        <v>247</v>
      </c>
      <c r="E20" s="165" t="s">
        <v>674</v>
      </c>
      <c r="F20" s="297" t="str">
        <f>VLOOKUP($E20,'BDEW-Standard'!$B$3:$M$94,F$9,0)</f>
        <v>BG3</v>
      </c>
      <c r="H20" s="274">
        <f>ROUND(VLOOKUP($E20,'BDEW-Standard'!$B$3:$M$94,H$9,0),7)</f>
        <v>1.8213778</v>
      </c>
      <c r="I20" s="274">
        <f>ROUND(VLOOKUP($E20,'BDEW-Standard'!$B$3:$M$94,I$9,0),7)</f>
        <v>-37.5</v>
      </c>
      <c r="J20" s="274">
        <f>ROUND(VLOOKUP($E20,'BDEW-Standard'!$B$3:$M$94,J$9,0),7)</f>
        <v>6.3462148000000003</v>
      </c>
      <c r="K20" s="274">
        <f>ROUND(VLOOKUP($E20,'BDEW-Standard'!$B$3:$M$94,K$9,0),7)</f>
        <v>6.7811800000000005E-2</v>
      </c>
      <c r="L20" s="338">
        <f>ROUND(VLOOKUP($E20,'BDEW-Standard'!$B$3:$M$94,L$9,0),1)</f>
        <v>40</v>
      </c>
      <c r="M20" s="274">
        <f>ROUND(VLOOKUP($E20,'BDEW-Standard'!$B$3:$M$94,M$9,0),7)</f>
        <v>-6.0766599999999997E-2</v>
      </c>
      <c r="N20" s="274">
        <f>ROUND(VLOOKUP($E20,'BDEW-Standard'!$B$3:$M$94,N$9,0),7)</f>
        <v>0.93081590000000003</v>
      </c>
      <c r="O20" s="274">
        <f>ROUND(VLOOKUP($E20,'BDEW-Standard'!$B$3:$M$94,O$9,0),7)</f>
        <v>-1.3967000000000001E-3</v>
      </c>
      <c r="P20" s="274">
        <f>ROUND(VLOOKUP($E20,'BDEW-Standard'!$B$3:$M$94,P$9,0),7)</f>
        <v>8.5039900000000002E-2</v>
      </c>
      <c r="Q20" s="339">
        <f t="shared" si="1"/>
        <v>0.99999980465705085</v>
      </c>
      <c r="R20" s="275">
        <f>ROUND(VLOOKUP(MID($E20,4,3),'Wochentag F(WT)'!$B$7:$J$22,R$9,0),4)</f>
        <v>0.98970000000000002</v>
      </c>
      <c r="S20" s="275">
        <f>ROUND(VLOOKUP(MID($E20,4,3),'Wochentag F(WT)'!$B$7:$J$22,S$9,0),4)</f>
        <v>0.9627</v>
      </c>
      <c r="T20" s="275">
        <f>ROUND(VLOOKUP(MID($E20,4,3),'Wochentag F(WT)'!$B$7:$J$22,T$9,0),4)</f>
        <v>1.0507</v>
      </c>
      <c r="U20" s="275">
        <f>ROUND(VLOOKUP(MID($E20,4,3),'Wochentag F(WT)'!$B$7:$J$22,U$9,0),4)</f>
        <v>1.0551999999999999</v>
      </c>
      <c r="V20" s="275">
        <f>ROUND(VLOOKUP(MID($E20,4,3),'Wochentag F(WT)'!$B$7:$J$22,V$9,0),4)</f>
        <v>1.0297000000000001</v>
      </c>
      <c r="W20" s="275">
        <f>ROUND(VLOOKUP(MID($E20,4,3),'Wochentag F(WT)'!$B$7:$J$22,W$9,0),4)</f>
        <v>0.97670000000000001</v>
      </c>
      <c r="X20" s="276">
        <f t="shared" si="2"/>
        <v>0.9352999999999998</v>
      </c>
      <c r="Y20" s="293"/>
      <c r="Z20" s="211"/>
    </row>
    <row r="21" spans="2:26" s="143" customFormat="1">
      <c r="B21" s="144">
        <v>10</v>
      </c>
      <c r="C21" s="145" t="str">
        <f t="shared" si="0"/>
        <v>NGB Stadtwerk Tauberfranken Gas</v>
      </c>
      <c r="D21" s="62" t="s">
        <v>247</v>
      </c>
      <c r="E21" s="165" t="s">
        <v>675</v>
      </c>
      <c r="F21" s="297" t="str">
        <f>VLOOKUP($E21,'BDEW-Standard'!$B$3:$M$94,F$9,0)</f>
        <v>FM3</v>
      </c>
      <c r="H21" s="274">
        <f>ROUND(VLOOKUP($E21,'BDEW-Standard'!$B$3:$M$94,H$9,0),7)</f>
        <v>1.2328654999999999</v>
      </c>
      <c r="I21" s="274">
        <f>ROUND(VLOOKUP($E21,'BDEW-Standard'!$B$3:$M$94,I$9,0),7)</f>
        <v>-34.721360500000003</v>
      </c>
      <c r="J21" s="274">
        <f>ROUND(VLOOKUP($E21,'BDEW-Standard'!$B$3:$M$94,J$9,0),7)</f>
        <v>5.8164303999999998</v>
      </c>
      <c r="K21" s="274">
        <f>ROUND(VLOOKUP($E21,'BDEW-Standard'!$B$3:$M$94,K$9,0),7)</f>
        <v>8.7335200000000002E-2</v>
      </c>
      <c r="L21" s="338">
        <f>ROUND(VLOOKUP($E21,'BDEW-Standard'!$B$3:$M$94,L$9,0),1)</f>
        <v>40</v>
      </c>
      <c r="M21" s="274">
        <f>ROUND(VLOOKUP($E21,'BDEW-Standard'!$B$3:$M$94,M$9,0),7)</f>
        <v>-4.0928399999999997E-2</v>
      </c>
      <c r="N21" s="274">
        <f>ROUND(VLOOKUP($E21,'BDEW-Standard'!$B$3:$M$94,N$9,0),7)</f>
        <v>0.76729199999999997</v>
      </c>
      <c r="O21" s="274">
        <f>ROUND(VLOOKUP($E21,'BDEW-Standard'!$B$3:$M$94,O$9,0),7)</f>
        <v>-2.232E-3</v>
      </c>
      <c r="P21" s="274">
        <f>ROUND(VLOOKUP($E21,'BDEW-Standard'!$B$3:$M$94,P$9,0),7)</f>
        <v>0.11992070000000001</v>
      </c>
      <c r="Q21" s="339">
        <f t="shared" si="1"/>
        <v>0.99999997653191475</v>
      </c>
      <c r="R21" s="275">
        <f>ROUND(VLOOKUP(MID($E21,4,3),'Wochentag F(WT)'!$B$7:$J$22,R$9,0),4)</f>
        <v>1.0354000000000001</v>
      </c>
      <c r="S21" s="275">
        <f>ROUND(VLOOKUP(MID($E21,4,3),'Wochentag F(WT)'!$B$7:$J$22,S$9,0),4)</f>
        <v>1.0523</v>
      </c>
      <c r="T21" s="275">
        <f>ROUND(VLOOKUP(MID($E21,4,3),'Wochentag F(WT)'!$B$7:$J$22,T$9,0),4)</f>
        <v>1.0448999999999999</v>
      </c>
      <c r="U21" s="275">
        <f>ROUND(VLOOKUP(MID($E21,4,3),'Wochentag F(WT)'!$B$7:$J$22,U$9,0),4)</f>
        <v>1.0494000000000001</v>
      </c>
      <c r="V21" s="275">
        <f>ROUND(VLOOKUP(MID($E21,4,3),'Wochentag F(WT)'!$B$7:$J$22,V$9,0),4)</f>
        <v>0.98850000000000005</v>
      </c>
      <c r="W21" s="275">
        <f>ROUND(VLOOKUP(MID($E21,4,3),'Wochentag F(WT)'!$B$7:$J$22,W$9,0),4)</f>
        <v>0.88600000000000001</v>
      </c>
      <c r="X21" s="276">
        <f t="shared" si="2"/>
        <v>0.94349999999999934</v>
      </c>
      <c r="Y21" s="293"/>
      <c r="Z21" s="211"/>
    </row>
    <row r="22" spans="2:26" s="143" customFormat="1">
      <c r="B22" s="144">
        <v>11</v>
      </c>
      <c r="C22" s="145" t="str">
        <f t="shared" si="0"/>
        <v>NGB Stadtwerk Tauberfranken Gas</v>
      </c>
      <c r="D22" s="62" t="s">
        <v>247</v>
      </c>
      <c r="E22" s="165" t="s">
        <v>676</v>
      </c>
      <c r="F22" s="297" t="str">
        <f>VLOOKUP($E22,'BDEW-Standard'!$B$3:$M$94,F$9,0)</f>
        <v>KM3</v>
      </c>
      <c r="H22" s="274">
        <f>ROUND(VLOOKUP($E22,'BDEW-Standard'!$B$3:$M$94,H$9,0),7)</f>
        <v>1.4202418999999999</v>
      </c>
      <c r="I22" s="274">
        <f>ROUND(VLOOKUP($E22,'BDEW-Standard'!$B$3:$M$94,I$9,0),7)</f>
        <v>-34.880612999999997</v>
      </c>
      <c r="J22" s="274">
        <f>ROUND(VLOOKUP($E22,'BDEW-Standard'!$B$3:$M$94,J$9,0),7)</f>
        <v>6.5951899000000003</v>
      </c>
      <c r="K22" s="274">
        <f>ROUND(VLOOKUP($E22,'BDEW-Standard'!$B$3:$M$94,K$9,0),7)</f>
        <v>3.8531700000000002E-2</v>
      </c>
      <c r="L22" s="338">
        <f>ROUND(VLOOKUP($E22,'BDEW-Standard'!$B$3:$M$94,L$9,0),1)</f>
        <v>40</v>
      </c>
      <c r="M22" s="274">
        <f>ROUND(VLOOKUP($E22,'BDEW-Standard'!$B$3:$M$94,M$9,0),7)</f>
        <v>-5.2108399999999999E-2</v>
      </c>
      <c r="N22" s="274">
        <f>ROUND(VLOOKUP($E22,'BDEW-Standard'!$B$3:$M$94,N$9,0),7)</f>
        <v>0.86479189999999995</v>
      </c>
      <c r="O22" s="274">
        <f>ROUND(VLOOKUP($E22,'BDEW-Standard'!$B$3:$M$94,O$9,0),7)</f>
        <v>-1.4369000000000001E-3</v>
      </c>
      <c r="P22" s="274">
        <f>ROUND(VLOOKUP($E22,'BDEW-Standard'!$B$3:$M$94,P$9,0),7)</f>
        <v>6.3760200000000003E-2</v>
      </c>
      <c r="Q22" s="339">
        <f t="shared" si="1"/>
        <v>1.0000002125085892</v>
      </c>
      <c r="R22" s="275">
        <f>ROUND(VLOOKUP(MID($E22,4,3),'Wochentag F(WT)'!$B$7:$J$22,R$9,0),4)</f>
        <v>1.0699000000000001</v>
      </c>
      <c r="S22" s="275">
        <f>ROUND(VLOOKUP(MID($E22,4,3),'Wochentag F(WT)'!$B$7:$J$22,S$9,0),4)</f>
        <v>1.0365</v>
      </c>
      <c r="T22" s="275">
        <f>ROUND(VLOOKUP(MID($E22,4,3),'Wochentag F(WT)'!$B$7:$J$22,T$9,0),4)</f>
        <v>0.99329999999999996</v>
      </c>
      <c r="U22" s="275">
        <f>ROUND(VLOOKUP(MID($E22,4,3),'Wochentag F(WT)'!$B$7:$J$22,U$9,0),4)</f>
        <v>0.99480000000000002</v>
      </c>
      <c r="V22" s="275">
        <f>ROUND(VLOOKUP(MID($E22,4,3),'Wochentag F(WT)'!$B$7:$J$22,V$9,0),4)</f>
        <v>1.0659000000000001</v>
      </c>
      <c r="W22" s="275">
        <f>ROUND(VLOOKUP(MID($E22,4,3),'Wochentag F(WT)'!$B$7:$J$22,W$9,0),4)</f>
        <v>0.93620000000000003</v>
      </c>
      <c r="X22" s="276">
        <f t="shared" si="2"/>
        <v>0.90339999999999954</v>
      </c>
      <c r="Y22" s="293"/>
      <c r="Z22" s="211"/>
    </row>
    <row r="23" spans="2:26" s="143" customFormat="1">
      <c r="B23" s="144">
        <v>12</v>
      </c>
      <c r="C23" s="145" t="str">
        <f t="shared" si="0"/>
        <v>NGB Stadtwerk Tauberfranken Gas</v>
      </c>
      <c r="D23" s="62" t="s">
        <v>247</v>
      </c>
      <c r="E23" s="165" t="s">
        <v>677</v>
      </c>
      <c r="F23" s="297" t="s">
        <v>305</v>
      </c>
      <c r="H23" s="274">
        <f>ROUND(VLOOKUP($E23,'BDEW-Standard'!$B$3:$M$94,H$9,0),7)</f>
        <v>1.6209544</v>
      </c>
      <c r="I23" s="274">
        <f>ROUND(VLOOKUP($E23,'BDEW-Standard'!$B$3:$M$94,I$9,0),7)</f>
        <v>-37.183314099999997</v>
      </c>
      <c r="J23" s="274">
        <f>ROUND(VLOOKUP($E23,'BDEW-Standard'!$B$3:$M$94,J$9,0),7)</f>
        <v>5.6727847000000002</v>
      </c>
      <c r="K23" s="274">
        <f>ROUND(VLOOKUP($E23,'BDEW-Standard'!$B$3:$M$94,K$9,0),7)</f>
        <v>7.1643100000000001E-2</v>
      </c>
      <c r="L23" s="338">
        <f>ROUND(VLOOKUP($E23,'BDEW-Standard'!$B$3:$M$94,L$9,0),1)</f>
        <v>40</v>
      </c>
      <c r="M23" s="274">
        <f>ROUND(VLOOKUP($E23,'BDEW-Standard'!$B$3:$M$94,M$9,0),7)</f>
        <v>-4.9570000000000003E-2</v>
      </c>
      <c r="N23" s="274">
        <f>ROUND(VLOOKUP($E23,'BDEW-Standard'!$B$3:$M$94,N$9,0),7)</f>
        <v>0.84010149999999995</v>
      </c>
      <c r="O23" s="274">
        <f>ROUND(VLOOKUP($E23,'BDEW-Standard'!$B$3:$M$94,O$9,0),7)</f>
        <v>-2.209E-3</v>
      </c>
      <c r="P23" s="274">
        <f>ROUND(VLOOKUP($E23,'BDEW-Standard'!$B$3:$M$94,P$9,0),7)</f>
        <v>0.1074468</v>
      </c>
      <c r="Q23" s="339">
        <f t="shared" si="1"/>
        <v>1.0000001417752751</v>
      </c>
      <c r="R23" s="275">
        <f>ROUND(VLOOKUP(MID($E23,4,3),'Wochentag F(WT)'!$B$7:$J$22,R$9,0),4)</f>
        <v>1</v>
      </c>
      <c r="S23" s="275">
        <f>ROUND(VLOOKUP(MID($E23,4,3),'Wochentag F(WT)'!$B$7:$J$22,S$9,0),4)</f>
        <v>1</v>
      </c>
      <c r="T23" s="275">
        <f>ROUND(VLOOKUP(MID($E23,4,3),'Wochentag F(WT)'!$B$7:$J$22,T$9,0),4)</f>
        <v>1</v>
      </c>
      <c r="U23" s="275">
        <f>ROUND(VLOOKUP(MID($E23,4,3),'Wochentag F(WT)'!$B$7:$J$22,U$9,0),4)</f>
        <v>1</v>
      </c>
      <c r="V23" s="275">
        <f>ROUND(VLOOKUP(MID($E23,4,3),'Wochentag F(WT)'!$B$7:$J$22,V$9,0),4)</f>
        <v>1</v>
      </c>
      <c r="W23" s="275">
        <f>ROUND(VLOOKUP(MID($E23,4,3),'Wochentag F(WT)'!$B$7:$J$22,W$9,0),4)</f>
        <v>1</v>
      </c>
      <c r="X23" s="276">
        <f t="shared" si="2"/>
        <v>1</v>
      </c>
      <c r="Y23" s="293"/>
      <c r="Z23" s="211"/>
    </row>
    <row r="24" spans="2:26" s="143" customFormat="1">
      <c r="B24" s="144">
        <v>13</v>
      </c>
      <c r="C24" s="145" t="str">
        <f t="shared" si="0"/>
        <v>NGB Stadtwerk Tauberfranken Gas</v>
      </c>
      <c r="D24" s="62" t="s">
        <v>247</v>
      </c>
      <c r="E24" s="165" t="s">
        <v>678</v>
      </c>
      <c r="F24" s="297" t="s">
        <v>313</v>
      </c>
      <c r="H24" s="274">
        <f>ROUND(VLOOKUP($E24,'BDEW-Standard'!$B$3:$M$94,H$9,0),7)</f>
        <v>1.2328654999999999</v>
      </c>
      <c r="I24" s="274">
        <f>ROUND(VLOOKUP($E24,'BDEW-Standard'!$B$3:$M$94,I$9,0),7)</f>
        <v>-34.721360500000003</v>
      </c>
      <c r="J24" s="274">
        <f>ROUND(VLOOKUP($E24,'BDEW-Standard'!$B$3:$M$94,J$9,0),7)</f>
        <v>5.8164303999999998</v>
      </c>
      <c r="K24" s="274">
        <f>ROUND(VLOOKUP($E24,'BDEW-Standard'!$B$3:$M$94,K$9,0),7)</f>
        <v>8.7335200000000002E-2</v>
      </c>
      <c r="L24" s="338">
        <f>ROUND(VLOOKUP($E24,'BDEW-Standard'!$B$3:$M$94,L$9,0),1)</f>
        <v>40</v>
      </c>
      <c r="M24" s="274">
        <f>ROUND(VLOOKUP($E24,'BDEW-Standard'!$B$3:$M$94,M$9,0),7)</f>
        <v>-4.0928399999999997E-2</v>
      </c>
      <c r="N24" s="274">
        <f>ROUND(VLOOKUP($E24,'BDEW-Standard'!$B$3:$M$94,N$9,0),7)</f>
        <v>0.76729199999999997</v>
      </c>
      <c r="O24" s="274">
        <f>ROUND(VLOOKUP($E24,'BDEW-Standard'!$B$3:$M$94,O$9,0),7)</f>
        <v>-2.232E-3</v>
      </c>
      <c r="P24" s="274">
        <f>ROUND(VLOOKUP($E24,'BDEW-Standard'!$B$3:$M$94,P$9,0),7)</f>
        <v>0.11992070000000001</v>
      </c>
      <c r="Q24" s="339">
        <f t="shared" si="1"/>
        <v>0.99999997653191475</v>
      </c>
      <c r="R24" s="275">
        <f>ROUND(VLOOKUP(MID($E24,4,3),'Wochentag F(WT)'!$B$7:$J$22,R$9,0),4)</f>
        <v>1</v>
      </c>
      <c r="S24" s="275">
        <f>ROUND(VLOOKUP(MID($E24,4,3),'Wochentag F(WT)'!$B$7:$J$22,S$9,0),4)</f>
        <v>1</v>
      </c>
      <c r="T24" s="275">
        <f>ROUND(VLOOKUP(MID($E24,4,3),'Wochentag F(WT)'!$B$7:$J$22,T$9,0),4)</f>
        <v>1</v>
      </c>
      <c r="U24" s="275">
        <f>ROUND(VLOOKUP(MID($E24,4,3),'Wochentag F(WT)'!$B$7:$J$22,U$9,0),4)</f>
        <v>1</v>
      </c>
      <c r="V24" s="275">
        <f>ROUND(VLOOKUP(MID($E24,4,3),'Wochentag F(WT)'!$B$7:$J$22,V$9,0),4)</f>
        <v>1</v>
      </c>
      <c r="W24" s="275">
        <f>ROUND(VLOOKUP(MID($E24,4,3),'Wochentag F(WT)'!$B$7:$J$22,W$9,0),4)</f>
        <v>1</v>
      </c>
      <c r="X24" s="276">
        <f t="shared" si="2"/>
        <v>1</v>
      </c>
      <c r="Y24" s="293"/>
      <c r="Z24" s="211"/>
    </row>
    <row r="25" spans="2:26" s="143" customFormat="1">
      <c r="B25" s="144">
        <v>14</v>
      </c>
      <c r="C25" s="145" t="str">
        <f t="shared" si="0"/>
        <v>NGB Stadtwerk Tauberfranken Gas</v>
      </c>
      <c r="D25" s="62"/>
      <c r="E25" s="165"/>
      <c r="F25" s="297"/>
      <c r="H25" s="274"/>
      <c r="I25" s="274"/>
      <c r="J25" s="274"/>
      <c r="K25" s="274"/>
      <c r="L25" s="338"/>
      <c r="M25" s="274"/>
      <c r="N25" s="274"/>
      <c r="O25" s="274"/>
      <c r="P25" s="274"/>
      <c r="Q25" s="339"/>
      <c r="R25" s="275"/>
      <c r="S25" s="275"/>
      <c r="T25" s="275"/>
      <c r="U25" s="275"/>
      <c r="V25" s="275"/>
      <c r="W25" s="275"/>
      <c r="X25" s="276"/>
      <c r="Y25" s="293"/>
      <c r="Z25" s="211"/>
    </row>
    <row r="26" spans="2:26" s="143" customFormat="1">
      <c r="B26" s="144">
        <v>15</v>
      </c>
      <c r="C26" s="145" t="str">
        <f t="shared" si="0"/>
        <v>NGB Stadtwerk Tauberfranken Gas</v>
      </c>
      <c r="D26" s="62"/>
      <c r="E26" s="165"/>
      <c r="F26" s="297"/>
      <c r="H26" s="274"/>
      <c r="I26" s="274"/>
      <c r="J26" s="274"/>
      <c r="K26" s="274"/>
      <c r="L26" s="338"/>
      <c r="M26" s="274"/>
      <c r="N26" s="274"/>
      <c r="O26" s="274"/>
      <c r="P26" s="274"/>
      <c r="Q26" s="339"/>
      <c r="R26" s="275"/>
      <c r="S26" s="275"/>
      <c r="T26" s="275"/>
      <c r="U26" s="275"/>
      <c r="V26" s="275"/>
      <c r="W26" s="275"/>
      <c r="X26" s="276"/>
      <c r="Y26" s="293"/>
      <c r="Z26" s="211"/>
    </row>
    <row r="27" spans="2:26" s="143" customFormat="1">
      <c r="B27" s="144">
        <v>16</v>
      </c>
      <c r="C27" s="145" t="str">
        <f t="shared" si="0"/>
        <v>NGB Stadtwerk Tauberfranken Gas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NGB Stadtwerk Tauberfranken Gas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NGB Stadtwerk Tauberfranken Gas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NGB Stadtwerk Tauberfranken Gas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NGB Stadtwerk Tauberfranken Gas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NGB Stadtwerk Tauberfranken Gas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NGB Stadtwerk Tauberfranken Gas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NGB Stadtwerk Tauberfranken Gas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NGB Stadtwerk Tauberfranken Gas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NGB Stadtwerk Tauberfranken Gas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NGB Stadtwerk Tauberfranken Gas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NGB Stadtwerk Tauberfranken Gas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NGB Stadtwerk Tauberfranken Gas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NGB Stadtwerk Tauberfranken Gas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NGB Stadtwerk Tauberfranken Gas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:F22 H12:K24 C13:C33 C34:C41 M12:X24" unlockedFormula="1"/>
    <ignoredError sqref="L12:L24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U12" sqref="U1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449</v>
      </c>
    </row>
    <row r="3" spans="2:30" ht="15" customHeight="1">
      <c r="B3" s="84"/>
    </row>
    <row r="4" spans="2:30" ht="15" customHeight="1">
      <c r="B4" s="85" t="s">
        <v>448</v>
      </c>
      <c r="C4" s="63" t="str">
        <f>Netzbetreiber!$D$9</f>
        <v>Stadtwerk Tauberfranken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447</v>
      </c>
      <c r="C5" s="64" t="str">
        <f>Netzbetreiber!$D$28</f>
        <v>NGB Stadtwerk Tauberfranken Gas</v>
      </c>
      <c r="D5" s="37"/>
      <c r="E5" s="76"/>
      <c r="F5" s="76"/>
      <c r="G5" s="76"/>
      <c r="I5" s="76"/>
      <c r="J5" s="76"/>
      <c r="K5" s="76"/>
      <c r="L5" s="76"/>
      <c r="M5" s="88" t="s">
        <v>510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445</v>
      </c>
      <c r="C6" s="63" t="str">
        <f>Netzbetreiber!$D$11</f>
        <v>9870078800000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42948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470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9" t="s">
        <v>584</v>
      </c>
      <c r="C10" s="350"/>
      <c r="D10" s="94">
        <v>2</v>
      </c>
      <c r="E10" s="95" t="str">
        <f>IF(ISERROR(HLOOKUP(E$11,$M$9:$AD$33,$D10,0)),"",HLOOKUP(E$11,$M$9:$AD$33,$D10,0))</f>
        <v/>
      </c>
      <c r="F10" s="347" t="s">
        <v>398</v>
      </c>
      <c r="G10" s="347"/>
      <c r="H10" s="347"/>
      <c r="I10" s="347"/>
      <c r="J10" s="347"/>
      <c r="K10" s="347"/>
      <c r="L10" s="348"/>
      <c r="M10" s="96" t="s">
        <v>471</v>
      </c>
      <c r="N10" s="97" t="s">
        <v>472</v>
      </c>
      <c r="O10" s="98" t="s">
        <v>473</v>
      </c>
      <c r="P10" s="99" t="s">
        <v>474</v>
      </c>
      <c r="Q10" s="99" t="s">
        <v>475</v>
      </c>
      <c r="R10" s="99" t="s">
        <v>476</v>
      </c>
      <c r="S10" s="99" t="s">
        <v>477</v>
      </c>
      <c r="T10" s="99" t="s">
        <v>478</v>
      </c>
      <c r="U10" s="99" t="s">
        <v>479</v>
      </c>
      <c r="V10" s="99" t="s">
        <v>480</v>
      </c>
      <c r="W10" s="99" t="s">
        <v>481</v>
      </c>
      <c r="X10" s="99" t="s">
        <v>482</v>
      </c>
      <c r="Y10" s="99" t="s">
        <v>483</v>
      </c>
      <c r="Z10" s="99" t="s">
        <v>484</v>
      </c>
      <c r="AA10" s="99" t="s">
        <v>485</v>
      </c>
      <c r="AB10" s="99" t="s">
        <v>486</v>
      </c>
      <c r="AC10" s="100" t="s">
        <v>487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0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457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458</v>
      </c>
      <c r="B1" s="128"/>
      <c r="D1" s="214" t="s">
        <v>546</v>
      </c>
    </row>
    <row r="2" spans="1:16">
      <c r="A2" s="234"/>
      <c r="B2" s="233" t="s">
        <v>459</v>
      </c>
    </row>
    <row r="3" spans="1:16" ht="20.100000000000001" customHeight="1">
      <c r="A3" s="351" t="s">
        <v>248</v>
      </c>
      <c r="B3" s="235" t="s">
        <v>86</v>
      </c>
      <c r="C3" s="236"/>
      <c r="D3" s="353" t="s">
        <v>460</v>
      </c>
      <c r="E3" s="354"/>
      <c r="F3" s="354"/>
      <c r="G3" s="354"/>
      <c r="H3" s="354"/>
      <c r="I3" s="354"/>
      <c r="J3" s="355"/>
      <c r="K3" s="237"/>
      <c r="L3" s="237"/>
      <c r="M3" s="237"/>
      <c r="N3" s="237"/>
      <c r="O3" s="238"/>
      <c r="P3" s="237"/>
    </row>
    <row r="4" spans="1:16" ht="20.100000000000001" customHeight="1">
      <c r="A4" s="352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Adrian Balbach</cp:lastModifiedBy>
  <cp:lastPrinted>2015-03-20T22:59:10Z</cp:lastPrinted>
  <dcterms:created xsi:type="dcterms:W3CDTF">2015-01-15T05:25:41Z</dcterms:created>
  <dcterms:modified xsi:type="dcterms:W3CDTF">2019-06-28T11:20:39Z</dcterms:modified>
</cp:coreProperties>
</file>