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H31" i="18" s="1"/>
  <c r="E63" i="18"/>
  <c r="G63" i="18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G31" i="18"/>
  <c r="N31" i="18"/>
  <c r="M31" i="18"/>
  <c r="I31" i="18"/>
  <c r="H53" i="18"/>
  <c r="H63" i="18"/>
  <c r="D24" i="15"/>
  <c r="C23" i="15"/>
  <c r="D56" i="18" l="1"/>
  <c r="J55" i="18" s="1"/>
  <c r="F31" i="18"/>
  <c r="K31" i="18"/>
  <c r="E31" i="18" s="1"/>
  <c r="J31" i="18"/>
  <c r="H21" i="18"/>
  <c r="E21" i="18" s="1"/>
  <c r="D66" i="18"/>
  <c r="K65" i="18" s="1"/>
  <c r="K55" i="18"/>
  <c r="G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55" i="18"/>
  <c r="E55" i="18" s="1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65" i="18" l="1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L12" i="7"/>
  <c r="H12" i="7"/>
  <c r="I11" i="7"/>
  <c r="F21" i="7"/>
  <c r="F19" i="7"/>
  <c r="F17" i="7"/>
  <c r="F15" i="7"/>
  <c r="F12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<sst xmlns="http://schemas.openxmlformats.org/spreadsheetml/2006/main" count="1373" uniqueCount="679">
  <si>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</si>
  <si>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</si>
  <si>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</si>
  <si>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</si>
  <si>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</si>
  <si>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</si>
  <si>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</si>
  <si>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</si>
  <si>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</si>
  <si>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</si>
  <si>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</si>
  <si>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</si>
  <si>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</si>
  <si>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</si>
  <si>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</si>
  <si>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</si>
  <si>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</si>
  <si>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</si>
  <si>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</si>
  <si>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</si>
  <si>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</si>
  <si>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</si>
  <si>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</si>
  <si>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</si>
  <si>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</si>
  <si>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</si>
  <si>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</si>
  <si>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</si>
  <si>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</si>
  <si>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</si>
  <si>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</si>
  <si>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</si>
  <si>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</si>
  <si>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</si>
  <si>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</si>
  <si>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</si>
  <si>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</si>
  <si>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</si>
  <si>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</si>
  <si>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</si>
  <si>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</si>
  <si>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</si>
  <si>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</si>
  <si>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</si>
  <si>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</si>
  <si>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</si>
  <si>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</si>
  <si>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</si>
  <si>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</si>
  <si>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</si>
  <si>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</si>
  <si>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</si>
  <si>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</si>
  <si>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</si>
  <si>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</si>
  <si>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</si>
  <si>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</si>
  <si>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</si>
  <si>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</si>
  <si>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</si>
  <si>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</si>
  <si>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</si>
  <si>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</si>
  <si>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</si>
  <si>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</si>
  <si>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</si>
  <si>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</si>
  <si>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</si>
  <si>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</si>
  <si>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</si>
  <si>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</si>
  <si>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</si>
  <si>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</si>
  <si>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</si>
  <si>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</si>
  <si>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</si>
  <si>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</si>
  <si>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</si>
  <si>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</si>
  <si>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</si>
  <si>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</si>
  <si>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</si>
  <si>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</si>
  <si>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</si>
  <si>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</si>
  <si>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</si>
  <si>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</si>
  <si>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</si>
  <si>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</si>
  <si>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</si>
  <si>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</si>
  <si>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</si>
  <si>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</si>
  <si>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</si>
  <si>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</si>
  <si>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</si>
  <si>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</si>
  <si>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</si>
  <si>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</si>
  <si>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</si>
  <si>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</si>
  <si>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</si>
  <si>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</si>
  <si>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</si>
  <si>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</si>
  <si>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</si>
  <si>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</si>
  <si>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</si>
  <si>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</si>
  <si>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</si>
  <si>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</si>
  <si>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</si>
  <si>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</si>
  <si>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</si>
  <si>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</si>
  <si>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</si>
  <si>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</si>
  <si>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</si>
  <si>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</si>
  <si>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</si>
  <si>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</si>
  <si>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</si>
  <si>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</si>
  <si>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</si>
  <si>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</si>
  <si>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</si>
  <si>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</si>
  <si>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</si>
  <si>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</si>
  <si>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</si>
  <si>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</si>
  <si>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</si>
  <si>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</si>
  <si>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</si>
  <si>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</si>
  <si>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</si>
  <si>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</si>
  <si>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</si>
  <si>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</si>
  <si>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</si>
  <si>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</si>
  <si>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</si>
  <si>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</si>
  <si>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</si>
  <si>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</si>
  <si>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</si>
  <si>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</si>
  <si>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</si>
  <si>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</si>
  <si>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</si>
  <si>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</si>
  <si>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</si>
  <si>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</si>
  <si>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</si>
  <si>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</si>
  <si>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</si>
  <si>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</si>
  <si>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</si>
  <si>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</si>
  <si>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</si>
  <si>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</si>
  <si>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</si>
  <si>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</si>
  <si>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</si>
  <si>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</si>
  <si>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</si>
  <si>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</si>
  <si>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</si>
  <si>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</si>
  <si>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</si>
  <si>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</si>
  <si>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</si>
  <si>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</si>
  <si>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</si>
  <si>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</si>
  <si>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</si>
  <si>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</si>
  <si>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</si>
  <si>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</si>
  <si>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</si>
  <si>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</si>
  <si>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</si>
  <si>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</si>
  <si>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</si>
  <si>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</si>
  <si>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</si>
  <si>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</si>
  <si>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</si>
  <si>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</si>
  <si>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</si>
  <si>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</si>
  <si>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</si>
  <si>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</si>
  <si>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</si>
  <si>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</si>
  <si>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</si>
  <si>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</si>
  <si>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</si>
  <si>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</si>
  <si>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</si>
  <si>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</si>
  <si>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</si>
  <si>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</si>
  <si>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</si>
  <si>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</si>
  <si>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</si>
  <si>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</si>
  <si>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</si>
  <si>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</si>
  <si>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</si>
  <si>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</si>
  <si>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</si>
  <si>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</si>
  <si>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</si>
  <si>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</si>
  <si>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</si>
  <si>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</si>
  <si>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</si>
  <si>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</si>
  <si>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</si>
  <si>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</si>
  <si>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</si>
  <si>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</si>
  <si>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</si>
  <si>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</si>
  <si>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</si>
  <si>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</si>
  <si>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</si>
  <si>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</si>
  <si>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</si>
  <si>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</si>
  <si>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</si>
  <si>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</si>
  <si>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</si>
  <si>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</si>
  <si>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</si>
  <si>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</si>
  <si>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</si>
  <si>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</si>
  <si>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</si>
  <si>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</si>
  <si>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</si>
  <si>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</si>
  <si>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</si>
  <si>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</si>
  <si>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</si>
  <si>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</si>
  <si>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</si>
  <si>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</si>
  <si>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</si>
  <si>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</si>
  <si>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</si>
  <si>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</si>
  <si>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</si>
  <si>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</si>
  <si>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</si>
  <si>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</si>
  <si>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</si>
  <si>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</si>
  <si>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</si>
  <si>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</si>
  <si>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</si>
  <si>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</si>
  <si>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</si>
  <si>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</si>
  <si>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</si>
  <si>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</si>
  <si>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</si>
  <si>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</si>
  <si>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</si>
  <si>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</si>
  <si>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</si>
  <si>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</si>
  <si>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</si>
  <si>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</si>
  <si>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</si>
  <si>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</si>
  <si>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</si>
  <si>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</si>
  <si>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</si>
  <si>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</si>
  <si>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</si>
  <si>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</si>
  <si>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</si>
  <si>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</si>
  <si>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</si>
  <si>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</si>
  <si>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</si>
  <si>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</si>
  <si>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</si>
  <si>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</si>
  <si>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</si>
  <si>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</si>
  <si>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</si>
  <si>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</si>
  <si>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</si>
  <si>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</si>
  <si>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</si>
  <si>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</si>
  <si>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</si>
  <si>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</si>
  <si>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</si>
  <si>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</si>
  <si>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</si>
  <si>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</si>
  <si>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</si>
  <si>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</si>
  <si>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</si>
  <si>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</si>
  <si>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</si>
  <si>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</si>
  <si>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</si>
  <si>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</si>
  <si>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</si>
  <si>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</si>
  <si>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</si>
  <si>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</si>
  <si>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</si>
  <si>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</si>
  <si>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</si>
  <si>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</si>
  <si>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</si>
  <si>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</si>
  <si>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</si>
  <si>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</si>
  <si>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</si>
  <si>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</si>
  <si>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</si>
  <si>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</si>
  <si>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</si>
  <si>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</si>
  <si>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</si>
  <si>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</si>
  <si>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</si>
  <si>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</si>
  <si>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</si>
  <si>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</si>
  <si>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</si>
  <si>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</si>
  <si>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</si>
  <si>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</si>
  <si>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</si>
  <si>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</si>
  <si>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</si>
  <si>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</si>
  <si>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</si>
  <si>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</si>
  <si>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</si>
  <si>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</si>
  <si>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</si>
  <si>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</si>
  <si>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</si>
  <si>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</si>
  <si>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</si>
  <si>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</si>
  <si>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</si>
  <si>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</si>
  <si>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</si>
  <si>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</si>
  <si>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</si>
  <si>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</si>
  <si>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</si>
  <si>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</si>
  <si>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</si>
  <si>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</si>
  <si>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</si>
  <si>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</si>
  <si>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</si>
  <si>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</si>
  <si>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</si>
  <si>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</si>
  <si>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</si>
  <si>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</si>
  <si>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</si>
  <si>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</si>
  <si>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</si>
  <si>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</si>
  <si>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</si>
  <si>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</si>
  <si>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</si>
  <si>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</si>
  <si>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</si>
  <si>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</si>
  <si>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</si>
  <si>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</si>
  <si>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</si>
  <si>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</si>
  <si>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</si>
  <si>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</si>
  <si>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</si>
  <si>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</si>
  <si>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</si>
  <si>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</si>
  <si>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</si>
  <si>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</si>
  <si>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</si>
  <si>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</si>
  <si>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</si>
  <si>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</si>
  <si>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</si>
  <si>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</si>
  <si>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</si>
  <si>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</si>
  <si>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</si>
  <si>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</si>
  <si>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</si>
  <si>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</si>
  <si>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</si>
  <si>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</si>
  <si>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</si>
  <si>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</si>
  <si>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</si>
  <si>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</si>
  <si>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</si>
  <si>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</si>
  <si>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</si>
  <si>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</si>
  <si>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</si>
  <si>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</si>
  <si>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</si>
  <si>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</si>
  <si>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</si>
  <si>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</si>
  <si>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</si>
  <si>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</si>
  <si>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</si>
  <si>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</si>
  <si>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</si>
  <si>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</si>
  <si>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</si>
  <si>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</si>
  <si>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</si>
  <si>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</si>
  <si>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</si>
  <si>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</si>
  <si>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</si>
  <si>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</si>
  <si>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</si>
  <si>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</si>
  <si>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</si>
  <si>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</si>
  <si>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</si>
  <si>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</si>
  <si>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</si>
  <si>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</si>
  <si>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</si>
  <si>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</si>
  <si>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</si>
  <si>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</si>
  <si>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</si>
  <si>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</si>
  <si>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</si>
  <si>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</si>
  <si>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</si>
  <si>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</si>
  <si>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</si>
  <si>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</si>
  <si>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</si>
  <si>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</si>
  <si>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</si>
  <si>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</si>
  <si>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</si>
  <si>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</si>
  <si>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</si>
  <si>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</si>
  <si>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</si>
  <si>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</si>
  <si>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</si>
  <si>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</si>
  <si>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</si>
  <si>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</si>
  <si>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</si>
  <si>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</si>
  <si>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</si>
  <si>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</si>
  <si>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</si>
  <si>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</si>
  <si>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</si>
  <si>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</si>
  <si>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</si>
  <si>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</si>
  <si>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</si>
  <si>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</si>
  <si>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</si>
  <si>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</si>
  <si>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</si>
  <si>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</si>
  <si>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</si>
  <si>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</si>
  <si>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</si>
  <si>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</si>
  <si>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</si>
  <si>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</si>
  <si>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</si>
  <si>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</si>
  <si>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</si>
  <si>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</si>
  <si>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</si>
  <si>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</si>
  <si>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</si>
  <si>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</si>
  <si>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</si>
  <si>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</si>
  <si>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</si>
  <si>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</si>
  <si>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</si>
  <si>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</si>
  <si>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</si>
  <si>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</si>
  <si>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</si>
  <si>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</si>
  <si>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</si>
  <si>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</si>
  <si>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</si>
  <si>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</si>
  <si>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</si>
  <si>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</si>
  <si>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</si>
  <si>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</si>
  <si>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</si>
  <si>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</si>
  <si>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</si>
  <si>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</si>
  <si>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</si>
  <si>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</si>
  <si>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</si>
  <si>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</si>
  <si>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</si>
  <si>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</si>
  <si>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</si>
  <si>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</si>
  <si>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</si>
  <si>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</si>
  <si>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</si>
  <si>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</si>
  <si>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</si>
  <si>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</si>
  <si>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</si>
  <si>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</si>
  <si>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</si>
  <si>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</si>
  <si>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</si>
  <si>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</si>
  <si>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</si>
  <si>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</si>
  <si>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</si>
  <si>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</si>
  <si>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</si>
  <si>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</si>
  <si>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</si>
  <si>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</si>
  <si>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</si>
  <si>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</si>
  <si>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</si>
  <si>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</si>
  <si>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</si>
  <si>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</si>
  <si>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</si>
  <si>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</si>
  <si>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</si>
  <si>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</si>
  <si>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</si>
  <si>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</si>
  <si>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</si>
  <si>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</si>
  <si>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</si>
  <si>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</si>
  <si>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</si>
  <si>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</si>
  <si>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</si>
  <si>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</si>
  <si>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</si>
  <si>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</si>
  <si>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</si>
  <si>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</si>
  <si>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</si>
  <si>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</si>
  <si>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</si>
  <si>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</si>
  <si>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</si>
  <si>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</si>
  <si>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</si>
  <si>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</si>
  <si>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</si>
  <si>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</si>
  <si>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</si>
  <si>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</si>
  <si>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</si>
  <si>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</si>
  <si>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</si>
  <si>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</si>
  <si>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</si>
  <si>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</si>
  <si>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</si>
  <si>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</si>
  <si>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</si>
  <si>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</si>
  <si>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</si>
  <si>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</si>
  <si>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</si>
  <si>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</si>
  <si>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</si>
  <si>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</si>
  <si>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</si>
  <si>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</si>
  <si>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</si>
  <si>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</si>
  <si>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</si>
  <si>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</si>
  <si>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</si>
  <si>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</si>
  <si>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</si>
  <si>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</si>
  <si>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</si>
  <si>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</si>
  <si>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</si>
  <si>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</si>
  <si>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</si>
  <si>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</si>
  <si>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</si>
  <si>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</si>
  <si>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</si>
  <si>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</si>
  <si>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</si>
  <si>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</si>
  <si>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</si>
  <si>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</si>
  <si>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</si>
  <si>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</si>
  <si>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</si>
  <si>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</si>
  <si>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</si>
  <si>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</si>
  <si>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</si>
  <si>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</si>
  <si>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</si>
  <si>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</si>
  <si>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</si>
  <si>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</si>
  <si>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</si>
  <si>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</si>
  <si>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</si>
  <si>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</si>
  <si>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</si>
  <si>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</si>
  <si>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</si>
  <si>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</si>
  <si>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</si>
  <si>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</si>
  <si>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</si>
  <si>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</si>
  <si>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</si>
  <si>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</si>
  <si>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</si>
  <si>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</si>
  <si>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</si>
  <si>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DE_GBH04</t>
  </si>
  <si>
    <t>Stadtwerk Tauberfranken GmbH</t>
  </si>
  <si>
    <t>Max-Planck-Str. 5</t>
  </si>
  <si>
    <t>Bad Mergentheim</t>
  </si>
  <si>
    <t>bilanzierung@stadtwerk-tauberfranken.de</t>
  </si>
  <si>
    <t>07931 491 332</t>
  </si>
  <si>
    <t>Neunkirchen</t>
  </si>
  <si>
    <t>9870078800000</t>
  </si>
  <si>
    <t>NCHN007007880000</t>
  </si>
  <si>
    <t>NGB Stadtwerk Tauberfranken Gas</t>
  </si>
  <si>
    <t>Adrian Balbach</t>
  </si>
  <si>
    <t>DE_GHA33</t>
  </si>
  <si>
    <t>DE_GPD33</t>
  </si>
  <si>
    <t>DE_GBA33</t>
  </si>
  <si>
    <t>DE_GKO33</t>
  </si>
  <si>
    <t>DE_GBD33</t>
  </si>
  <si>
    <t>DE_GGA33</t>
  </si>
  <si>
    <t>DE_GWA33</t>
  </si>
  <si>
    <t>DE_GGB33</t>
  </si>
  <si>
    <t>DE_GMF33</t>
  </si>
  <si>
    <t>DE_GMK33</t>
  </si>
  <si>
    <t>DE_HEF33</t>
  </si>
  <si>
    <t>DE_HMF33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</si>
</sst>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topLeftCell="A4" zoomScale="90" zoomScaleNormal="90" workbookViewId="0">
      <selection activeCell="D5" sqref="D5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43644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42948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663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97980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NGB Stadtwerk Tauberfranken Gas</v>
      </c>
      <c r="E28" s="38"/>
      <c r="F28" s="11"/>
      <c r="G28" s="2"/>
    </row>
    <row r="29" spans="1:15">
      <c r="B29" s="15"/>
      <c r="C29" s="22" t="s">
        <v>396</v>
      </c>
      <c r="D29" s="45" t="s">
        <v>665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2" zoomScale="80" zoomScaleNormal="80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Stadtwerk Tauberfranken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NGB Stadtwerk Tauberfranken Gas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9870078800000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42948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579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498</v>
      </c>
      <c r="D35" s="42">
        <v>13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662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2" zoomScale="70" zoomScaleNormal="70" workbookViewId="0">
      <selection activeCell="E25" sqref="E2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Stadtwerk Tauberfranken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NGB Stadtwerk Tauberfranken 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9870078800000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42948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#01'!F10)</f>
        <v>Neunkirchen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198149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Neunkirchen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198149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Stadtwerk Tauberfranken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NGB Stadtwerk Tauberfranken Gas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9870078800000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42948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451</v>
      </c>
      <c r="D14" s="342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2" t="s">
        <v>388</v>
      </c>
      <c r="D15" s="342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581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H26" sqref="H26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Stadtwerk Tauberfranken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NGB Stadtwerk Tauberfranken Gas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9870078800000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42948</v>
      </c>
      <c r="E8" s="130"/>
      <c r="F8" s="130"/>
      <c r="H8" s="128" t="s">
        <v>498</v>
      </c>
      <c r="J8" s="132">
        <f>COUNTA(D12:D100)</f>
        <v>13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656</v>
      </c>
      <c r="F11" s="296" t="str">
        <f>VLOOKUP($E11,'BDEW-Standard'!$B$3:$M$158,F$9,0)</f>
        <v>BH4</v>
      </c>
      <c r="H11" s="167">
        <f>ROUND(VLOOKUP($E11,'BDEW-Standard'!$B$3:$M$158,H$9,0),7)</f>
        <v>2.4595180999999999</v>
      </c>
      <c r="I11" s="167">
        <f>ROUND(VLOOKUP($E11,'BDEW-Standard'!$B$3:$M$158,I$9,0),7)</f>
        <v>-35.253212400000002</v>
      </c>
      <c r="J11" s="167">
        <f>ROUND(VLOOKUP($E11,'BDEW-Standard'!$B$3:$M$158,J$9,0),7)</f>
        <v>6.0587001000000003</v>
      </c>
      <c r="K11" s="167">
        <f>ROUND(VLOOKUP($E11,'BDEW-Standard'!$B$3:$M$158,K$9,0),7)</f>
        <v>0.16473699999999999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1.043802057143173</v>
      </c>
      <c r="R11" s="168">
        <f>ROUND(VLOOKUP(MID($E11,4,3),'Wochentag F(WT)'!$B$7:$J$22,R$9,0),4)</f>
        <v>0.97670000000000001</v>
      </c>
      <c r="S11" s="168">
        <f>ROUND(VLOOKUP(MID($E11,4,3),'Wochentag F(WT)'!$B$7:$J$22,S$9,0),4)</f>
        <v>1.0388999999999999</v>
      </c>
      <c r="T11" s="168">
        <f>ROUND(VLOOKUP(MID($E11,4,3),'Wochentag F(WT)'!$B$7:$J$22,T$9,0),4)</f>
        <v>1.0027999999999999</v>
      </c>
      <c r="U11" s="168">
        <f>ROUND(VLOOKUP(MID($E11,4,3),'Wochentag F(WT)'!$B$7:$J$22,U$9,0),4)</f>
        <v>1.0162</v>
      </c>
      <c r="V11" s="168">
        <f>ROUND(VLOOKUP(MID($E11,4,3),'Wochentag F(WT)'!$B$7:$J$22,V$9,0),4)</f>
        <v>1.0024</v>
      </c>
      <c r="W11" s="168">
        <f>ROUND(VLOOKUP(MID($E11,4,3),'Wochentag F(WT)'!$B$7:$J$22,W$9,0),4)</f>
        <v>1.0043</v>
      </c>
      <c r="X11" s="169">
        <f>7-SUM(R11:W11)</f>
        <v>0.95870000000000122</v>
      </c>
      <c r="Y11" s="292">
        <v>365.12299999999999</v>
      </c>
    </row>
    <row r="12" spans="2:26">
      <c r="B12" s="141">
        <v>1</v>
      </c>
      <c r="C12" s="142" t="str">
        <f t="shared" ref="C12:C41" si="0">$D$6</f>
        <v>NGB Stadtwerk Tauberfranken Gas</v>
      </c>
      <c r="D12" s="62" t="s">
        <v>247</v>
      </c>
      <c r="E12" s="165" t="s">
        <v>669</v>
      </c>
      <c r="F12" s="297" t="str">
        <f>VLOOKUP($E12,'BDEW-Standard'!$B$3:$M$94,F$9,0)</f>
        <v>AB3</v>
      </c>
      <c r="H12" s="274">
        <f>ROUND(VLOOKUP($E12,'BDEW-Standard'!$B$3:$M$94,H$9,0),7)</f>
        <v>0.2770087</v>
      </c>
      <c r="I12" s="274">
        <f>ROUND(VLOOKUP($E12,'BDEW-Standard'!$B$3:$M$94,I$9,0),7)</f>
        <v>-33</v>
      </c>
      <c r="J12" s="274">
        <f>ROUND(VLOOKUP($E12,'BDEW-Standard'!$B$3:$M$94,J$9,0),7)</f>
        <v>5.7212303000000002</v>
      </c>
      <c r="K12" s="274">
        <f>ROUND(VLOOKUP($E12,'BDEW-Standard'!$B$3:$M$94,K$9,0),7)</f>
        <v>0.48651179999999999</v>
      </c>
      <c r="L12" s="338">
        <f>ROUND(VLOOKUP($E12,'BDEW-Standard'!$B$3:$M$94,L$9,0),1)</f>
        <v>40</v>
      </c>
      <c r="M12" s="274">
        <f>ROUND(VLOOKUP($E12,'BDEW-Standard'!$B$3:$M$94,M$9,0),7)</f>
        <v>-9.4848999999999992E-3</v>
      </c>
      <c r="N12" s="274">
        <f>ROUND(VLOOKUP($E12,'BDEW-Standard'!$B$3:$M$94,N$9,0),7)</f>
        <v>0.46302369999999998</v>
      </c>
      <c r="O12" s="274">
        <f>ROUND(VLOOKUP($E12,'BDEW-Standard'!$B$3:$M$94,O$9,0),7)</f>
        <v>-7.1339999999999999E-4</v>
      </c>
      <c r="P12" s="274">
        <f>ROUND(VLOOKUP($E12,'BDEW-Standard'!$B$3:$M$94,P$9,0),7)</f>
        <v>0.3867447</v>
      </c>
      <c r="Q12" s="339">
        <f t="shared" ref="Q12:Q26" si="1">($H12/(1+($I12/($Q$9-$L12))^$J12)+$K12)+MAX($M12*$Q$9+$N12,$O12*$Q$9+$P12)</f>
        <v>1.0000000764227039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1.1402000000000001</v>
      </c>
      <c r="W12" s="275">
        <f>ROUND(VLOOKUP(MID($E12,4,3),'Wochentag F(WT)'!$B$7:$J$22,W$9,0),4)</f>
        <v>0.48520000000000002</v>
      </c>
      <c r="X12" s="276">
        <f>7-SUM(R12:W12)</f>
        <v>0.95650000000000013</v>
      </c>
      <c r="Y12" s="293"/>
      <c r="Z12" s="211"/>
    </row>
    <row r="13" spans="2:26" s="143" customFormat="1">
      <c r="B13" s="144">
        <v>2</v>
      </c>
      <c r="C13" s="145" t="str">
        <f t="shared" si="0"/>
        <v>NGB Stadtwerk Tauberfranken Gas</v>
      </c>
      <c r="D13" s="62" t="s">
        <v>247</v>
      </c>
      <c r="E13" s="165" t="s">
        <v>668</v>
      </c>
      <c r="F13" s="297" t="str">
        <f>VLOOKUP($E13,'BDEW-Standard'!$B$3:$M$94,F$9,0)</f>
        <v>DP3</v>
      </c>
      <c r="H13" s="274">
        <f>ROUND(VLOOKUP($E13,'BDEW-Standard'!$B$3:$M$94,H$9,0),7)</f>
        <v>1.7110738999999999</v>
      </c>
      <c r="I13" s="274">
        <f>ROUND(VLOOKUP($E13,'BDEW-Standard'!$B$3:$M$94,I$9,0),7)</f>
        <v>-35.799999999999997</v>
      </c>
      <c r="J13" s="274">
        <f>ROUND(VLOOKUP($E13,'BDEW-Standard'!$B$3:$M$94,J$9,0),7)</f>
        <v>8.4</v>
      </c>
      <c r="K13" s="274">
        <f>ROUND(VLOOKUP($E13,'BDEW-Standard'!$B$3:$M$94,K$9,0),7)</f>
        <v>7.02546E-2</v>
      </c>
      <c r="L13" s="338">
        <f>ROUND(VLOOKUP($E13,'BDEW-Standard'!$B$3:$M$94,L$9,0),1)</f>
        <v>40</v>
      </c>
      <c r="M13" s="274">
        <f>ROUND(VLOOKUP($E13,'BDEW-Standard'!$B$3:$M$94,M$9,0),7)</f>
        <v>-7.4538099999999996E-2</v>
      </c>
      <c r="N13" s="274">
        <f>ROUND(VLOOKUP($E13,'BDEW-Standard'!$B$3:$M$94,N$9,0),7)</f>
        <v>1.0463005000000001</v>
      </c>
      <c r="O13" s="274">
        <f>ROUND(VLOOKUP($E13,'BDEW-Standard'!$B$3:$M$94,O$9,0),7)</f>
        <v>-3.6719999999999998E-4</v>
      </c>
      <c r="P13" s="274">
        <f>ROUND(VLOOKUP($E13,'BDEW-Standard'!$B$3:$M$94,P$9,0),7)</f>
        <v>6.2188199999999999E-2</v>
      </c>
      <c r="Q13" s="339">
        <f t="shared" si="1"/>
        <v>1.0000000773228386</v>
      </c>
      <c r="R13" s="275">
        <f>ROUND(VLOOKUP(MID($E13,4,3),'Wochentag F(WT)'!$B$7:$J$22,R$9,0),4)</f>
        <v>1.0214000000000001</v>
      </c>
      <c r="S13" s="275">
        <f>ROUND(VLOOKUP(MID($E13,4,3),'Wochentag F(WT)'!$B$7:$J$22,S$9,0),4)</f>
        <v>1.0866</v>
      </c>
      <c r="T13" s="275">
        <f>ROUND(VLOOKUP(MID($E13,4,3),'Wochentag F(WT)'!$B$7:$J$22,T$9,0),4)</f>
        <v>1.0720000000000001</v>
      </c>
      <c r="U13" s="275">
        <f>ROUND(VLOOKUP(MID($E13,4,3),'Wochentag F(WT)'!$B$7:$J$22,U$9,0),4)</f>
        <v>1.0557000000000001</v>
      </c>
      <c r="V13" s="275">
        <f>ROUND(VLOOKUP(MID($E13,4,3),'Wochentag F(WT)'!$B$7:$J$22,V$9,0),4)</f>
        <v>1.0117</v>
      </c>
      <c r="W13" s="275">
        <f>ROUND(VLOOKUP(MID($E13,4,3),'Wochentag F(WT)'!$B$7:$J$22,W$9,0),4)</f>
        <v>0.90010000000000001</v>
      </c>
      <c r="X13" s="276">
        <f t="shared" ref="X13:X26" si="2">7-SUM(R13:W13)</f>
        <v>0.85249999999999915</v>
      </c>
      <c r="Y13" s="293"/>
      <c r="Z13" s="211"/>
    </row>
    <row r="14" spans="2:26" s="143" customFormat="1">
      <c r="B14" s="144">
        <v>3</v>
      </c>
      <c r="C14" s="145" t="str">
        <f t="shared" si="0"/>
        <v>NGB Stadtwerk Tauberfranken Gas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NGB Stadtwerk Tauberfranken Gas</v>
      </c>
      <c r="D15" s="62" t="s">
        <v>247</v>
      </c>
      <c r="E15" s="165" t="s">
        <v>667</v>
      </c>
      <c r="F15" s="297" t="str">
        <f>VLOOKUP($E15,'BDEW-Standard'!$B$3:$M$94,F$9,0)</f>
        <v>AH3</v>
      </c>
      <c r="H15" s="274">
        <f>ROUND(VLOOKUP($E15,'BDEW-Standard'!$B$3:$M$94,H$9,0),7)</f>
        <v>1.9724775000000001</v>
      </c>
      <c r="I15" s="274">
        <f>ROUND(VLOOKUP($E15,'BDEW-Standard'!$B$3:$M$94,I$9,0),7)</f>
        <v>-36.965006500000001</v>
      </c>
      <c r="J15" s="274">
        <f>ROUND(VLOOKUP($E15,'BDEW-Standard'!$B$3:$M$94,J$9,0),7)</f>
        <v>7.2256947</v>
      </c>
      <c r="K15" s="274">
        <f>ROUND(VLOOKUP($E15,'BDEW-Standard'!$B$3:$M$94,K$9,0),7)</f>
        <v>3.4578200000000003E-2</v>
      </c>
      <c r="L15" s="338">
        <f>ROUND(VLOOKUP($E15,'BDEW-Standard'!$B$3:$M$94,L$9,0),1)</f>
        <v>40</v>
      </c>
      <c r="M15" s="274">
        <f>ROUND(VLOOKUP($E15,'BDEW-Standard'!$B$3:$M$94,M$9,0),7)</f>
        <v>-7.4217400000000003E-2</v>
      </c>
      <c r="N15" s="274">
        <f>ROUND(VLOOKUP($E15,'BDEW-Standard'!$B$3:$M$94,N$9,0),7)</f>
        <v>1.0448869000000001</v>
      </c>
      <c r="O15" s="274">
        <f>ROUND(VLOOKUP($E15,'BDEW-Standard'!$B$3:$M$94,O$9,0),7)</f>
        <v>-8.2950000000000005E-4</v>
      </c>
      <c r="P15" s="274">
        <f>ROUND(VLOOKUP($E15,'BDEW-Standard'!$B$3:$M$94,P$9,0),7)</f>
        <v>4.6179499999999998E-2</v>
      </c>
      <c r="Q15" s="339">
        <f t="shared" si="1"/>
        <v>1.0000000832749945</v>
      </c>
      <c r="R15" s="275">
        <f>ROUND(VLOOKUP(MID($E15,4,3),'Wochentag F(WT)'!$B$7:$J$22,R$9,0),4)</f>
        <v>1.0358000000000001</v>
      </c>
      <c r="S15" s="275">
        <f>ROUND(VLOOKUP(MID($E15,4,3),'Wochentag F(WT)'!$B$7:$J$22,S$9,0),4)</f>
        <v>1.0232000000000001</v>
      </c>
      <c r="T15" s="275">
        <f>ROUND(VLOOKUP(MID($E15,4,3),'Wochentag F(WT)'!$B$7:$J$22,T$9,0),4)</f>
        <v>1.0251999999999999</v>
      </c>
      <c r="U15" s="275">
        <f>ROUND(VLOOKUP(MID($E15,4,3),'Wochentag F(WT)'!$B$7:$J$22,U$9,0),4)</f>
        <v>1.0295000000000001</v>
      </c>
      <c r="V15" s="275">
        <f>ROUND(VLOOKUP(MID($E15,4,3),'Wochentag F(WT)'!$B$7:$J$22,V$9,0),4)</f>
        <v>1.0253000000000001</v>
      </c>
      <c r="W15" s="275">
        <f>ROUND(VLOOKUP(MID($E15,4,3),'Wochentag F(WT)'!$B$7:$J$22,W$9,0),4)</f>
        <v>0.96750000000000003</v>
      </c>
      <c r="X15" s="276">
        <f t="shared" si="2"/>
        <v>0.89350000000000041</v>
      </c>
      <c r="Y15" s="293"/>
      <c r="Z15" s="211"/>
    </row>
    <row r="16" spans="2:26" s="143" customFormat="1">
      <c r="B16" s="144">
        <v>5</v>
      </c>
      <c r="C16" s="145" t="str">
        <f t="shared" si="0"/>
        <v>NGB Stadtwerk Tauberfranken Gas</v>
      </c>
      <c r="D16" s="62" t="s">
        <v>247</v>
      </c>
      <c r="E16" s="165" t="s">
        <v>670</v>
      </c>
      <c r="F16" s="297" t="str">
        <f>VLOOKUP($E16,'BDEW-Standard'!$B$3:$M$94,F$9,0)</f>
        <v>OK3</v>
      </c>
      <c r="H16" s="274">
        <f>ROUND(VLOOKUP($E16,'BDEW-Standard'!$B$3:$M$94,H$9,0),7)</f>
        <v>1.3554515</v>
      </c>
      <c r="I16" s="274">
        <f>ROUND(VLOOKUP($E16,'BDEW-Standard'!$B$3:$M$94,I$9,0),7)</f>
        <v>-35.141256300000002</v>
      </c>
      <c r="J16" s="274">
        <f>ROUND(VLOOKUP($E16,'BDEW-Standard'!$B$3:$M$94,J$9,0),7)</f>
        <v>7.1303394999999998</v>
      </c>
      <c r="K16" s="274">
        <f>ROUND(VLOOKUP($E16,'BDEW-Standard'!$B$3:$M$94,K$9,0),7)</f>
        <v>9.9061899999999994E-2</v>
      </c>
      <c r="L16" s="338">
        <f>ROUND(VLOOKUP($E16,'BDEW-Standard'!$B$3:$M$94,L$9,0),1)</f>
        <v>40</v>
      </c>
      <c r="M16" s="274">
        <f>ROUND(VLOOKUP($E16,'BDEW-Standard'!$B$3:$M$94,M$9,0),7)</f>
        <v>-5.26487E-2</v>
      </c>
      <c r="N16" s="274">
        <f>ROUND(VLOOKUP($E16,'BDEW-Standard'!$B$3:$M$94,N$9,0),7)</f>
        <v>0.86260859999999995</v>
      </c>
      <c r="O16" s="274">
        <f>ROUND(VLOOKUP($E16,'BDEW-Standard'!$B$3:$M$94,O$9,0),7)</f>
        <v>-8.8080000000000005E-4</v>
      </c>
      <c r="P16" s="274">
        <f>ROUND(VLOOKUP($E16,'BDEW-Standard'!$B$3:$M$94,P$9,0),7)</f>
        <v>9.6401399999999998E-2</v>
      </c>
      <c r="Q16" s="339">
        <f t="shared" si="1"/>
        <v>0.99999998782262245</v>
      </c>
      <c r="R16" s="275">
        <f>ROUND(VLOOKUP(MID($E16,4,3),'Wochentag F(WT)'!$B$7:$J$22,R$9,0),4)</f>
        <v>1.0354000000000001</v>
      </c>
      <c r="S16" s="275">
        <f>ROUND(VLOOKUP(MID($E16,4,3),'Wochentag F(WT)'!$B$7:$J$22,S$9,0),4)</f>
        <v>1.0523</v>
      </c>
      <c r="T16" s="275">
        <f>ROUND(VLOOKUP(MID($E16,4,3),'Wochentag F(WT)'!$B$7:$J$22,T$9,0),4)</f>
        <v>1.0448999999999999</v>
      </c>
      <c r="U16" s="275">
        <f>ROUND(VLOOKUP(MID($E16,4,3),'Wochentag F(WT)'!$B$7:$J$22,U$9,0),4)</f>
        <v>1.0494000000000001</v>
      </c>
      <c r="V16" s="275">
        <f>ROUND(VLOOKUP(MID($E16,4,3),'Wochentag F(WT)'!$B$7:$J$22,V$9,0),4)</f>
        <v>0.98850000000000005</v>
      </c>
      <c r="W16" s="275">
        <f>ROUND(VLOOKUP(MID($E16,4,3),'Wochentag F(WT)'!$B$7:$J$22,W$9,0),4)</f>
        <v>0.88600000000000001</v>
      </c>
      <c r="X16" s="276">
        <f t="shared" si="2"/>
        <v>0.94349999999999934</v>
      </c>
      <c r="Y16" s="293"/>
      <c r="Z16" s="211"/>
    </row>
    <row r="17" spans="2:26" s="143" customFormat="1">
      <c r="B17" s="144">
        <v>6</v>
      </c>
      <c r="C17" s="145" t="str">
        <f t="shared" si="0"/>
        <v>NGB Stadtwerk Tauberfranken Gas</v>
      </c>
      <c r="D17" s="62" t="s">
        <v>247</v>
      </c>
      <c r="E17" s="165" t="s">
        <v>671</v>
      </c>
      <c r="F17" s="297" t="str">
        <f>VLOOKUP($E17,'BDEW-Standard'!$B$3:$M$94,F$9,0)</f>
        <v>DB3</v>
      </c>
      <c r="H17" s="274">
        <f>ROUND(VLOOKUP($E17,'BDEW-Standard'!$B$3:$M$94,H$9,0),7)</f>
        <v>1.4633681999999999</v>
      </c>
      <c r="I17" s="274">
        <f>ROUND(VLOOKUP($E17,'BDEW-Standard'!$B$3:$M$94,I$9,0),7)</f>
        <v>-36.179411700000003</v>
      </c>
      <c r="J17" s="274">
        <f>ROUND(VLOOKUP($E17,'BDEW-Standard'!$B$3:$M$94,J$9,0),7)</f>
        <v>5.9265162</v>
      </c>
      <c r="K17" s="274">
        <f>ROUND(VLOOKUP($E17,'BDEW-Standard'!$B$3:$M$94,K$9,0),7)</f>
        <v>8.0883499999999997E-2</v>
      </c>
      <c r="L17" s="338">
        <f>ROUND(VLOOKUP($E17,'BDEW-Standard'!$B$3:$M$94,L$9,0),1)</f>
        <v>40</v>
      </c>
      <c r="M17" s="274">
        <f>ROUND(VLOOKUP($E17,'BDEW-Standard'!$B$3:$M$94,M$9,0),7)</f>
        <v>-4.7579999999999997E-2</v>
      </c>
      <c r="N17" s="274">
        <f>ROUND(VLOOKUP($E17,'BDEW-Standard'!$B$3:$M$94,N$9,0),7)</f>
        <v>0.82307540000000001</v>
      </c>
      <c r="O17" s="274">
        <f>ROUND(VLOOKUP($E17,'BDEW-Standard'!$B$3:$M$94,O$9,0),7)</f>
        <v>-1.9273000000000001E-3</v>
      </c>
      <c r="P17" s="274">
        <f>ROUND(VLOOKUP($E17,'BDEW-Standard'!$B$3:$M$94,P$9,0),7)</f>
        <v>0.1077046</v>
      </c>
      <c r="Q17" s="339">
        <f t="shared" si="1"/>
        <v>0.99999993818735389</v>
      </c>
      <c r="R17" s="275">
        <f>ROUND(VLOOKUP(MID($E17,4,3),'Wochentag F(WT)'!$B$7:$J$22,R$9,0),4)</f>
        <v>1.1052</v>
      </c>
      <c r="S17" s="275">
        <f>ROUND(VLOOKUP(MID($E17,4,3),'Wochentag F(WT)'!$B$7:$J$22,S$9,0),4)</f>
        <v>1.0857000000000001</v>
      </c>
      <c r="T17" s="275">
        <f>ROUND(VLOOKUP(MID($E17,4,3),'Wochentag F(WT)'!$B$7:$J$22,T$9,0),4)</f>
        <v>1.0378000000000001</v>
      </c>
      <c r="U17" s="275">
        <f>ROUND(VLOOKUP(MID($E17,4,3),'Wochentag F(WT)'!$B$7:$J$22,U$9,0),4)</f>
        <v>1.0622</v>
      </c>
      <c r="V17" s="275">
        <f>ROUND(VLOOKUP(MID($E17,4,3),'Wochentag F(WT)'!$B$7:$J$22,V$9,0),4)</f>
        <v>1.0266</v>
      </c>
      <c r="W17" s="275">
        <f>ROUND(VLOOKUP(MID($E17,4,3),'Wochentag F(WT)'!$B$7:$J$22,W$9,0),4)</f>
        <v>0.76290000000000002</v>
      </c>
      <c r="X17" s="276">
        <f t="shared" si="2"/>
        <v>0.91959999999999997</v>
      </c>
      <c r="Y17" s="293"/>
      <c r="Z17" s="211"/>
    </row>
    <row r="18" spans="2:26" s="143" customFormat="1">
      <c r="B18" s="144">
        <v>7</v>
      </c>
      <c r="C18" s="145" t="str">
        <f t="shared" si="0"/>
        <v>NGB Stadtwerk Tauberfranken Gas</v>
      </c>
      <c r="D18" s="62" t="s">
        <v>247</v>
      </c>
      <c r="E18" s="165" t="s">
        <v>672</v>
      </c>
      <c r="F18" s="297" t="str">
        <f>VLOOKUP($E18,'BDEW-Standard'!$B$3:$M$94,F$9,0)</f>
        <v>AG3</v>
      </c>
      <c r="H18" s="274">
        <f>ROUND(VLOOKUP($E18,'BDEW-Standard'!$B$3:$M$94,H$9,0),7)</f>
        <v>1.1582082</v>
      </c>
      <c r="I18" s="274">
        <f>ROUND(VLOOKUP($E18,'BDEW-Standard'!$B$3:$M$94,I$9,0),7)</f>
        <v>-36.287858399999998</v>
      </c>
      <c r="J18" s="274">
        <f>ROUND(VLOOKUP($E18,'BDEW-Standard'!$B$3:$M$94,J$9,0),7)</f>
        <v>6.5885125999999996</v>
      </c>
      <c r="K18" s="274">
        <f>ROUND(VLOOKUP($E18,'BDEW-Standard'!$B$3:$M$94,K$9,0),7)</f>
        <v>0.22356799999999999</v>
      </c>
      <c r="L18" s="338">
        <f>ROUND(VLOOKUP($E18,'BDEW-Standard'!$B$3:$M$94,L$9,0),1)</f>
        <v>40</v>
      </c>
      <c r="M18" s="274">
        <f>ROUND(VLOOKUP($E18,'BDEW-Standard'!$B$3:$M$94,M$9,0),7)</f>
        <v>-4.1033500000000001E-2</v>
      </c>
      <c r="N18" s="274">
        <f>ROUND(VLOOKUP($E18,'BDEW-Standard'!$B$3:$M$94,N$9,0),7)</f>
        <v>0.75264509999999996</v>
      </c>
      <c r="O18" s="274">
        <f>ROUND(VLOOKUP($E18,'BDEW-Standard'!$B$3:$M$94,O$9,0),7)</f>
        <v>-9.0879999999999997E-4</v>
      </c>
      <c r="P18" s="274">
        <f>ROUND(VLOOKUP($E18,'BDEW-Standard'!$B$3:$M$94,P$9,0),7)</f>
        <v>0.1916641</v>
      </c>
      <c r="Q18" s="339">
        <f t="shared" si="1"/>
        <v>0.99999977999083423</v>
      </c>
      <c r="R18" s="275">
        <f>ROUND(VLOOKUP(MID($E18,4,3),'Wochentag F(WT)'!$B$7:$J$22,R$9,0),4)</f>
        <v>0.93220000000000003</v>
      </c>
      <c r="S18" s="275">
        <f>ROUND(VLOOKUP(MID($E18,4,3),'Wochentag F(WT)'!$B$7:$J$22,S$9,0),4)</f>
        <v>0.98939999999999995</v>
      </c>
      <c r="T18" s="275">
        <f>ROUND(VLOOKUP(MID($E18,4,3),'Wochentag F(WT)'!$B$7:$J$22,T$9,0),4)</f>
        <v>1.0033000000000001</v>
      </c>
      <c r="U18" s="275">
        <f>ROUND(VLOOKUP(MID($E18,4,3),'Wochentag F(WT)'!$B$7:$J$22,U$9,0),4)</f>
        <v>1.0108999999999999</v>
      </c>
      <c r="V18" s="275">
        <f>ROUND(VLOOKUP(MID($E18,4,3),'Wochentag F(WT)'!$B$7:$J$22,V$9,0),4)</f>
        <v>1.018</v>
      </c>
      <c r="W18" s="275">
        <f>ROUND(VLOOKUP(MID($E18,4,3),'Wochentag F(WT)'!$B$7:$J$22,W$9,0),4)</f>
        <v>1.0356000000000001</v>
      </c>
      <c r="X18" s="276">
        <f t="shared" si="2"/>
        <v>1.0106000000000002</v>
      </c>
      <c r="Y18" s="293"/>
      <c r="Z18" s="211"/>
    </row>
    <row r="19" spans="2:26" s="143" customFormat="1">
      <c r="B19" s="144">
        <v>8</v>
      </c>
      <c r="C19" s="145" t="str">
        <f t="shared" si="0"/>
        <v>NGB Stadtwerk Tauberfranken Gas</v>
      </c>
      <c r="D19" s="62" t="s">
        <v>247</v>
      </c>
      <c r="E19" s="165" t="s">
        <v>673</v>
      </c>
      <c r="F19" s="297" t="str">
        <f>VLOOKUP($E19,'BDEW-Standard'!$B$3:$M$94,F$9,0)</f>
        <v>AW3</v>
      </c>
      <c r="H19" s="274">
        <f>ROUND(VLOOKUP($E19,'BDEW-Standard'!$B$3:$M$94,H$9,0),7)</f>
        <v>0.33378380000000002</v>
      </c>
      <c r="I19" s="274">
        <f>ROUND(VLOOKUP($E19,'BDEW-Standard'!$B$3:$M$94,I$9,0),7)</f>
        <v>-36.023791199999998</v>
      </c>
      <c r="J19" s="274">
        <f>ROUND(VLOOKUP($E19,'BDEW-Standard'!$B$3:$M$94,J$9,0),7)</f>
        <v>4.8662747</v>
      </c>
      <c r="K19" s="274">
        <f>ROUND(VLOOKUP($E19,'BDEW-Standard'!$B$3:$M$94,K$9,0),7)</f>
        <v>0.491228</v>
      </c>
      <c r="L19" s="338">
        <f>ROUND(VLOOKUP($E19,'BDEW-Standard'!$B$3:$M$94,L$9,0),1)</f>
        <v>40</v>
      </c>
      <c r="M19" s="274">
        <f>ROUND(VLOOKUP($E19,'BDEW-Standard'!$B$3:$M$94,M$9,0),7)</f>
        <v>-9.2262999999999998E-3</v>
      </c>
      <c r="N19" s="274">
        <f>ROUND(VLOOKUP($E19,'BDEW-Standard'!$B$3:$M$94,N$9,0),7)</f>
        <v>0.45957569999999998</v>
      </c>
      <c r="O19" s="274">
        <f>ROUND(VLOOKUP($E19,'BDEW-Standard'!$B$3:$M$94,O$9,0),7)</f>
        <v>-9.6759999999999999E-4</v>
      </c>
      <c r="P19" s="274">
        <f>ROUND(VLOOKUP($E19,'BDEW-Standard'!$B$3:$M$94,P$9,0),7)</f>
        <v>0.39642909999999998</v>
      </c>
      <c r="Q19" s="339">
        <f t="shared" si="1"/>
        <v>1.000000394217609</v>
      </c>
      <c r="R19" s="275">
        <f>ROUND(VLOOKUP(MID($E19,4,3),'Wochentag F(WT)'!$B$7:$J$22,R$9,0),4)</f>
        <v>1.2457</v>
      </c>
      <c r="S19" s="275">
        <f>ROUND(VLOOKUP(MID($E19,4,3),'Wochentag F(WT)'!$B$7:$J$22,S$9,0),4)</f>
        <v>1.2615000000000001</v>
      </c>
      <c r="T19" s="275">
        <f>ROUND(VLOOKUP(MID($E19,4,3),'Wochentag F(WT)'!$B$7:$J$22,T$9,0),4)</f>
        <v>1.2706999999999999</v>
      </c>
      <c r="U19" s="275">
        <f>ROUND(VLOOKUP(MID($E19,4,3),'Wochentag F(WT)'!$B$7:$J$22,U$9,0),4)</f>
        <v>1.2430000000000001</v>
      </c>
      <c r="V19" s="275">
        <f>ROUND(VLOOKUP(MID($E19,4,3),'Wochentag F(WT)'!$B$7:$J$22,V$9,0),4)</f>
        <v>1.1275999999999999</v>
      </c>
      <c r="W19" s="275">
        <f>ROUND(VLOOKUP(MID($E19,4,3),'Wochentag F(WT)'!$B$7:$J$22,W$9,0),4)</f>
        <v>0.38769999999999999</v>
      </c>
      <c r="X19" s="276">
        <f t="shared" si="2"/>
        <v>0.46379999999999999</v>
      </c>
      <c r="Y19" s="293"/>
      <c r="Z19" s="211"/>
    </row>
    <row r="20" spans="2:26" s="143" customFormat="1">
      <c r="B20" s="144">
        <v>9</v>
      </c>
      <c r="C20" s="145" t="str">
        <f t="shared" si="0"/>
        <v>NGB Stadtwerk Tauberfranken Gas</v>
      </c>
      <c r="D20" s="62" t="s">
        <v>247</v>
      </c>
      <c r="E20" s="165" t="s">
        <v>674</v>
      </c>
      <c r="F20" s="297" t="str">
        <f>VLOOKUP($E20,'BDEW-Standard'!$B$3:$M$94,F$9,0)</f>
        <v>BG3</v>
      </c>
      <c r="H20" s="274">
        <f>ROUND(VLOOKUP($E20,'BDEW-Standard'!$B$3:$M$94,H$9,0),7)</f>
        <v>1.8213778</v>
      </c>
      <c r="I20" s="274">
        <f>ROUND(VLOOKUP($E20,'BDEW-Standard'!$B$3:$M$94,I$9,0),7)</f>
        <v>-37.5</v>
      </c>
      <c r="J20" s="274">
        <f>ROUND(VLOOKUP($E20,'BDEW-Standard'!$B$3:$M$94,J$9,0),7)</f>
        <v>6.3462148000000003</v>
      </c>
      <c r="K20" s="274">
        <f>ROUND(VLOOKUP($E20,'BDEW-Standard'!$B$3:$M$94,K$9,0),7)</f>
        <v>6.7811800000000005E-2</v>
      </c>
      <c r="L20" s="338">
        <f>ROUND(VLOOKUP($E20,'BDEW-Standard'!$B$3:$M$94,L$9,0),1)</f>
        <v>40</v>
      </c>
      <c r="M20" s="274">
        <f>ROUND(VLOOKUP($E20,'BDEW-Standard'!$B$3:$M$94,M$9,0),7)</f>
        <v>-6.0766599999999997E-2</v>
      </c>
      <c r="N20" s="274">
        <f>ROUND(VLOOKUP($E20,'BDEW-Standard'!$B$3:$M$94,N$9,0),7)</f>
        <v>0.93081590000000003</v>
      </c>
      <c r="O20" s="274">
        <f>ROUND(VLOOKUP($E20,'BDEW-Standard'!$B$3:$M$94,O$9,0),7)</f>
        <v>-1.3967000000000001E-3</v>
      </c>
      <c r="P20" s="274">
        <f>ROUND(VLOOKUP($E20,'BDEW-Standard'!$B$3:$M$94,P$9,0),7)</f>
        <v>8.5039900000000002E-2</v>
      </c>
      <c r="Q20" s="339">
        <f t="shared" si="1"/>
        <v>0.99999980465705085</v>
      </c>
      <c r="R20" s="275">
        <f>ROUND(VLOOKUP(MID($E20,4,3),'Wochentag F(WT)'!$B$7:$J$22,R$9,0),4)</f>
        <v>0.98970000000000002</v>
      </c>
      <c r="S20" s="275">
        <f>ROUND(VLOOKUP(MID($E20,4,3),'Wochentag F(WT)'!$B$7:$J$22,S$9,0),4)</f>
        <v>0.9627</v>
      </c>
      <c r="T20" s="275">
        <f>ROUND(VLOOKUP(MID($E20,4,3),'Wochentag F(WT)'!$B$7:$J$22,T$9,0),4)</f>
        <v>1.0507</v>
      </c>
      <c r="U20" s="275">
        <f>ROUND(VLOOKUP(MID($E20,4,3),'Wochentag F(WT)'!$B$7:$J$22,U$9,0),4)</f>
        <v>1.0551999999999999</v>
      </c>
      <c r="V20" s="275">
        <f>ROUND(VLOOKUP(MID($E20,4,3),'Wochentag F(WT)'!$B$7:$J$22,V$9,0),4)</f>
        <v>1.0297000000000001</v>
      </c>
      <c r="W20" s="275">
        <f>ROUND(VLOOKUP(MID($E20,4,3),'Wochentag F(WT)'!$B$7:$J$22,W$9,0),4)</f>
        <v>0.97670000000000001</v>
      </c>
      <c r="X20" s="276">
        <f t="shared" si="2"/>
        <v>0.9352999999999998</v>
      </c>
      <c r="Y20" s="293"/>
      <c r="Z20" s="211"/>
    </row>
    <row r="21" spans="2:26" s="143" customFormat="1">
      <c r="B21" s="144">
        <v>10</v>
      </c>
      <c r="C21" s="145" t="str">
        <f t="shared" si="0"/>
        <v>NGB Stadtwerk Tauberfranken Gas</v>
      </c>
      <c r="D21" s="62" t="s">
        <v>247</v>
      </c>
      <c r="E21" s="165" t="s">
        <v>675</v>
      </c>
      <c r="F21" s="297" t="str">
        <f>VLOOKUP($E21,'BDEW-Standard'!$B$3:$M$94,F$9,0)</f>
        <v>FM3</v>
      </c>
      <c r="H21" s="274">
        <f>ROUND(VLOOKUP($E21,'BDEW-Standard'!$B$3:$M$94,H$9,0),7)</f>
        <v>1.2328654999999999</v>
      </c>
      <c r="I21" s="274">
        <f>ROUND(VLOOKUP($E21,'BDEW-Standard'!$B$3:$M$94,I$9,0),7)</f>
        <v>-34.721360500000003</v>
      </c>
      <c r="J21" s="274">
        <f>ROUND(VLOOKUP($E21,'BDEW-Standard'!$B$3:$M$94,J$9,0),7)</f>
        <v>5.8164303999999998</v>
      </c>
      <c r="K21" s="274">
        <f>ROUND(VLOOKUP($E21,'BDEW-Standard'!$B$3:$M$94,K$9,0),7)</f>
        <v>8.7335200000000002E-2</v>
      </c>
      <c r="L21" s="338">
        <f>ROUND(VLOOKUP($E21,'BDEW-Standard'!$B$3:$M$94,L$9,0),1)</f>
        <v>40</v>
      </c>
      <c r="M21" s="274">
        <f>ROUND(VLOOKUP($E21,'BDEW-Standard'!$B$3:$M$94,M$9,0),7)</f>
        <v>-4.0928399999999997E-2</v>
      </c>
      <c r="N21" s="274">
        <f>ROUND(VLOOKUP($E21,'BDEW-Standard'!$B$3:$M$94,N$9,0),7)</f>
        <v>0.76729199999999997</v>
      </c>
      <c r="O21" s="274">
        <f>ROUND(VLOOKUP($E21,'BDEW-Standard'!$B$3:$M$94,O$9,0),7)</f>
        <v>-2.232E-3</v>
      </c>
      <c r="P21" s="274">
        <f>ROUND(VLOOKUP($E21,'BDEW-Standard'!$B$3:$M$94,P$9,0),7)</f>
        <v>0.11992070000000001</v>
      </c>
      <c r="Q21" s="339">
        <f t="shared" si="1"/>
        <v>0.99999997653191475</v>
      </c>
      <c r="R21" s="275">
        <f>ROUND(VLOOKUP(MID($E21,4,3),'Wochentag F(WT)'!$B$7:$J$22,R$9,0),4)</f>
        <v>1.0354000000000001</v>
      </c>
      <c r="S21" s="275">
        <f>ROUND(VLOOKUP(MID($E21,4,3),'Wochentag F(WT)'!$B$7:$J$22,S$9,0),4)</f>
        <v>1.0523</v>
      </c>
      <c r="T21" s="275">
        <f>ROUND(VLOOKUP(MID($E21,4,3),'Wochentag F(WT)'!$B$7:$J$22,T$9,0),4)</f>
        <v>1.0448999999999999</v>
      </c>
      <c r="U21" s="275">
        <f>ROUND(VLOOKUP(MID($E21,4,3),'Wochentag F(WT)'!$B$7:$J$22,U$9,0),4)</f>
        <v>1.0494000000000001</v>
      </c>
      <c r="V21" s="275">
        <f>ROUND(VLOOKUP(MID($E21,4,3),'Wochentag F(WT)'!$B$7:$J$22,V$9,0),4)</f>
        <v>0.98850000000000005</v>
      </c>
      <c r="W21" s="275">
        <f>ROUND(VLOOKUP(MID($E21,4,3),'Wochentag F(WT)'!$B$7:$J$22,W$9,0),4)</f>
        <v>0.88600000000000001</v>
      </c>
      <c r="X21" s="276">
        <f t="shared" si="2"/>
        <v>0.94349999999999934</v>
      </c>
      <c r="Y21" s="293"/>
      <c r="Z21" s="211"/>
    </row>
    <row r="22" spans="2:26" s="143" customFormat="1">
      <c r="B22" s="144">
        <v>11</v>
      </c>
      <c r="C22" s="145" t="str">
        <f t="shared" si="0"/>
        <v>NGB Stadtwerk Tauberfranken Gas</v>
      </c>
      <c r="D22" s="62" t="s">
        <v>247</v>
      </c>
      <c r="E22" s="165" t="s">
        <v>676</v>
      </c>
      <c r="F22" s="297" t="str">
        <f>VLOOKUP($E22,'BDEW-Standard'!$B$3:$M$94,F$9,0)</f>
        <v>KM3</v>
      </c>
      <c r="H22" s="274">
        <f>ROUND(VLOOKUP($E22,'BDEW-Standard'!$B$3:$M$94,H$9,0),7)</f>
        <v>1.4202418999999999</v>
      </c>
      <c r="I22" s="274">
        <f>ROUND(VLOOKUP($E22,'BDEW-Standard'!$B$3:$M$94,I$9,0),7)</f>
        <v>-34.880612999999997</v>
      </c>
      <c r="J22" s="274">
        <f>ROUND(VLOOKUP($E22,'BDEW-Standard'!$B$3:$M$94,J$9,0),7)</f>
        <v>6.5951899000000003</v>
      </c>
      <c r="K22" s="274">
        <f>ROUND(VLOOKUP($E22,'BDEW-Standard'!$B$3:$M$94,K$9,0),7)</f>
        <v>3.8531700000000002E-2</v>
      </c>
      <c r="L22" s="338">
        <f>ROUND(VLOOKUP($E22,'BDEW-Standard'!$B$3:$M$94,L$9,0),1)</f>
        <v>40</v>
      </c>
      <c r="M22" s="274">
        <f>ROUND(VLOOKUP($E22,'BDEW-Standard'!$B$3:$M$94,M$9,0),7)</f>
        <v>-5.2108399999999999E-2</v>
      </c>
      <c r="N22" s="274">
        <f>ROUND(VLOOKUP($E22,'BDEW-Standard'!$B$3:$M$94,N$9,0),7)</f>
        <v>0.86479189999999995</v>
      </c>
      <c r="O22" s="274">
        <f>ROUND(VLOOKUP($E22,'BDEW-Standard'!$B$3:$M$94,O$9,0),7)</f>
        <v>-1.4369000000000001E-3</v>
      </c>
      <c r="P22" s="274">
        <f>ROUND(VLOOKUP($E22,'BDEW-Standard'!$B$3:$M$94,P$9,0),7)</f>
        <v>6.3760200000000003E-2</v>
      </c>
      <c r="Q22" s="339">
        <f t="shared" si="1"/>
        <v>1.0000002125085892</v>
      </c>
      <c r="R22" s="275">
        <f>ROUND(VLOOKUP(MID($E22,4,3),'Wochentag F(WT)'!$B$7:$J$22,R$9,0),4)</f>
        <v>1.0699000000000001</v>
      </c>
      <c r="S22" s="275">
        <f>ROUND(VLOOKUP(MID($E22,4,3),'Wochentag F(WT)'!$B$7:$J$22,S$9,0),4)</f>
        <v>1.0365</v>
      </c>
      <c r="T22" s="275">
        <f>ROUND(VLOOKUP(MID($E22,4,3),'Wochentag F(WT)'!$B$7:$J$22,T$9,0),4)</f>
        <v>0.99329999999999996</v>
      </c>
      <c r="U22" s="275">
        <f>ROUND(VLOOKUP(MID($E22,4,3),'Wochentag F(WT)'!$B$7:$J$22,U$9,0),4)</f>
        <v>0.99480000000000002</v>
      </c>
      <c r="V22" s="275">
        <f>ROUND(VLOOKUP(MID($E22,4,3),'Wochentag F(WT)'!$B$7:$J$22,V$9,0),4)</f>
        <v>1.0659000000000001</v>
      </c>
      <c r="W22" s="275">
        <f>ROUND(VLOOKUP(MID($E22,4,3),'Wochentag F(WT)'!$B$7:$J$22,W$9,0),4)</f>
        <v>0.93620000000000003</v>
      </c>
      <c r="X22" s="276">
        <f t="shared" si="2"/>
        <v>0.90339999999999954</v>
      </c>
      <c r="Y22" s="293"/>
      <c r="Z22" s="211"/>
    </row>
    <row r="23" spans="2:26" s="143" customFormat="1">
      <c r="B23" s="144">
        <v>12</v>
      </c>
      <c r="C23" s="145" t="str">
        <f t="shared" si="0"/>
        <v>NGB Stadtwerk Tauberfranken Gas</v>
      </c>
      <c r="D23" s="62" t="s">
        <v>247</v>
      </c>
      <c r="E23" s="165" t="s">
        <v>677</v>
      </c>
      <c r="F23" s="297" t="s">
        <v>305</v>
      </c>
      <c r="H23" s="274">
        <f>ROUND(VLOOKUP($E23,'BDEW-Standard'!$B$3:$M$94,H$9,0),7)</f>
        <v>1.6209544</v>
      </c>
      <c r="I23" s="274">
        <f>ROUND(VLOOKUP($E23,'BDEW-Standard'!$B$3:$M$94,I$9,0),7)</f>
        <v>-37.183314099999997</v>
      </c>
      <c r="J23" s="274">
        <f>ROUND(VLOOKUP($E23,'BDEW-Standard'!$B$3:$M$94,J$9,0),7)</f>
        <v>5.6727847000000002</v>
      </c>
      <c r="K23" s="274">
        <f>ROUND(VLOOKUP($E23,'BDEW-Standard'!$B$3:$M$94,K$9,0),7)</f>
        <v>7.1643100000000001E-2</v>
      </c>
      <c r="L23" s="338">
        <f>ROUND(VLOOKUP($E23,'BDEW-Standard'!$B$3:$M$94,L$9,0),1)</f>
        <v>40</v>
      </c>
      <c r="M23" s="274">
        <f>ROUND(VLOOKUP($E23,'BDEW-Standard'!$B$3:$M$94,M$9,0),7)</f>
        <v>-4.9570000000000003E-2</v>
      </c>
      <c r="N23" s="274">
        <f>ROUND(VLOOKUP($E23,'BDEW-Standard'!$B$3:$M$94,N$9,0),7)</f>
        <v>0.84010149999999995</v>
      </c>
      <c r="O23" s="274">
        <f>ROUND(VLOOKUP($E23,'BDEW-Standard'!$B$3:$M$94,O$9,0),7)</f>
        <v>-2.209E-3</v>
      </c>
      <c r="P23" s="274">
        <f>ROUND(VLOOKUP($E23,'BDEW-Standard'!$B$3:$M$94,P$9,0),7)</f>
        <v>0.1074468</v>
      </c>
      <c r="Q23" s="339">
        <f t="shared" si="1"/>
        <v>1.0000001417752751</v>
      </c>
      <c r="R23" s="275">
        <f>ROUND(VLOOKUP(MID($E23,4,3),'Wochentag F(WT)'!$B$7:$J$22,R$9,0),4)</f>
        <v>1</v>
      </c>
      <c r="S23" s="275">
        <f>ROUND(VLOOKUP(MID($E23,4,3),'Wochentag F(WT)'!$B$7:$J$22,S$9,0),4)</f>
        <v>1</v>
      </c>
      <c r="T23" s="275">
        <f>ROUND(VLOOKUP(MID($E23,4,3),'Wochentag F(WT)'!$B$7:$J$22,T$9,0),4)</f>
        <v>1</v>
      </c>
      <c r="U23" s="275">
        <f>ROUND(VLOOKUP(MID($E23,4,3),'Wochentag F(WT)'!$B$7:$J$22,U$9,0),4)</f>
        <v>1</v>
      </c>
      <c r="V23" s="275">
        <f>ROUND(VLOOKUP(MID($E23,4,3),'Wochentag F(WT)'!$B$7:$J$22,V$9,0),4)</f>
        <v>1</v>
      </c>
      <c r="W23" s="275">
        <f>ROUND(VLOOKUP(MID($E23,4,3),'Wochentag F(WT)'!$B$7:$J$22,W$9,0),4)</f>
        <v>1</v>
      </c>
      <c r="X23" s="276">
        <f t="shared" si="2"/>
        <v>1</v>
      </c>
      <c r="Y23" s="293"/>
      <c r="Z23" s="211"/>
    </row>
    <row r="24" spans="2:26" s="143" customFormat="1">
      <c r="B24" s="144">
        <v>13</v>
      </c>
      <c r="C24" s="145" t="str">
        <f t="shared" si="0"/>
        <v>NGB Stadtwerk Tauberfranken Gas</v>
      </c>
      <c r="D24" s="62" t="s">
        <v>247</v>
      </c>
      <c r="E24" s="165" t="s">
        <v>678</v>
      </c>
      <c r="F24" s="297" t="s">
        <v>313</v>
      </c>
      <c r="H24" s="274">
        <f>ROUND(VLOOKUP($E24,'BDEW-Standard'!$B$3:$M$94,H$9,0),7)</f>
        <v>1.2328654999999999</v>
      </c>
      <c r="I24" s="274">
        <f>ROUND(VLOOKUP($E24,'BDEW-Standard'!$B$3:$M$94,I$9,0),7)</f>
        <v>-34.721360500000003</v>
      </c>
      <c r="J24" s="274">
        <f>ROUND(VLOOKUP($E24,'BDEW-Standard'!$B$3:$M$94,J$9,0),7)</f>
        <v>5.8164303999999998</v>
      </c>
      <c r="K24" s="274">
        <f>ROUND(VLOOKUP($E24,'BDEW-Standard'!$B$3:$M$94,K$9,0),7)</f>
        <v>8.7335200000000002E-2</v>
      </c>
      <c r="L24" s="338">
        <f>ROUND(VLOOKUP($E24,'BDEW-Standard'!$B$3:$M$94,L$9,0),1)</f>
        <v>40</v>
      </c>
      <c r="M24" s="274">
        <f>ROUND(VLOOKUP($E24,'BDEW-Standard'!$B$3:$M$94,M$9,0),7)</f>
        <v>-4.0928399999999997E-2</v>
      </c>
      <c r="N24" s="274">
        <f>ROUND(VLOOKUP($E24,'BDEW-Standard'!$B$3:$M$94,N$9,0),7)</f>
        <v>0.76729199999999997</v>
      </c>
      <c r="O24" s="274">
        <f>ROUND(VLOOKUP($E24,'BDEW-Standard'!$B$3:$M$94,O$9,0),7)</f>
        <v>-2.232E-3</v>
      </c>
      <c r="P24" s="274">
        <f>ROUND(VLOOKUP($E24,'BDEW-Standard'!$B$3:$M$94,P$9,0),7)</f>
        <v>0.11992070000000001</v>
      </c>
      <c r="Q24" s="339">
        <f t="shared" si="1"/>
        <v>0.99999997653191475</v>
      </c>
      <c r="R24" s="275">
        <f>ROUND(VLOOKUP(MID($E24,4,3),'Wochentag F(WT)'!$B$7:$J$22,R$9,0),4)</f>
        <v>1</v>
      </c>
      <c r="S24" s="275">
        <f>ROUND(VLOOKUP(MID($E24,4,3),'Wochentag F(WT)'!$B$7:$J$22,S$9,0),4)</f>
        <v>1</v>
      </c>
      <c r="T24" s="275">
        <f>ROUND(VLOOKUP(MID($E24,4,3),'Wochentag F(WT)'!$B$7:$J$22,T$9,0),4)</f>
        <v>1</v>
      </c>
      <c r="U24" s="275">
        <f>ROUND(VLOOKUP(MID($E24,4,3),'Wochentag F(WT)'!$B$7:$J$22,U$9,0),4)</f>
        <v>1</v>
      </c>
      <c r="V24" s="275">
        <f>ROUND(VLOOKUP(MID($E24,4,3),'Wochentag F(WT)'!$B$7:$J$22,V$9,0),4)</f>
        <v>1</v>
      </c>
      <c r="W24" s="275">
        <f>ROUND(VLOOKUP(MID($E24,4,3),'Wochentag F(WT)'!$B$7:$J$22,W$9,0),4)</f>
        <v>1</v>
      </c>
      <c r="X24" s="276">
        <f t="shared" si="2"/>
        <v>1</v>
      </c>
      <c r="Y24" s="293"/>
      <c r="Z24" s="211"/>
    </row>
    <row r="25" spans="2:26" s="143" customFormat="1">
      <c r="B25" s="144">
        <v>14</v>
      </c>
      <c r="C25" s="145" t="str">
        <f t="shared" si="0"/>
        <v>NGB Stadtwerk Tauberfranken Gas</v>
      </c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>
        <v>15</v>
      </c>
      <c r="C26" s="145" t="str">
        <f t="shared" si="0"/>
        <v>NGB Stadtwerk Tauberfranken Gas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NGB Stadtwerk Tauberfranken Gas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NGB Stadtwerk Tauberfranken Gas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NGB Stadtwerk Tauberfranken Gas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NGB Stadtwerk Tauberfranken Gas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NGB Stadtwerk Tauberfranken Gas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NGB Stadtwerk Tauberfranken Gas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NGB Stadtwerk Tauberfranken Gas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NGB Stadtwerk Tauberfranken Gas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NGB Stadtwerk Tauberfranken Gas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NGB Stadtwerk Tauberfranken Gas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NGB Stadtwerk Tauberfranken Gas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NGB Stadtwerk Tauberfranken Gas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NGB Stadtwerk Tauberfranken Gas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NGB Stadtwerk Tauberfranken Gas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NGB Stadtwerk Tauberfranken Gas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2 H12:K24 C13:C33 C34:C41 M12:X24" unlockedFormula="1"/>
    <ignoredError sqref="L12:L2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U12" sqref="U1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Stadtwerk Tauberfranken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NGB Stadtwerk Tauberfranken Gas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9870078800000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42948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461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584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1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1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546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546</v>
      </c>
    </row>
    <row r="2" spans="1:16">
      <c r="A2" s="234"/>
      <c r="B2" s="233" t="s">
        <v>459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460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Adrian Balbach</cp:lastModifiedBy>
  <cp:lastPrinted>2015-03-20T22:59:10Z</cp:lastPrinted>
  <dcterms:created xsi:type="dcterms:W3CDTF">2015-01-15T05:25:41Z</dcterms:created>
  <dcterms:modified xsi:type="dcterms:W3CDTF">2019-06-28T11:20:39Z</dcterms:modified>
</cp:coreProperties>
</file>